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cdc\finance\OfficeFiles\PILOT Agreements\PILOT Agreements - Annual Spreadsheets\"/>
    </mc:Choice>
  </mc:AlternateContent>
  <xr:revisionPtr revIDLastSave="0" documentId="13_ncr:1_{88B572F3-63F2-47D3-BEBB-A3D21202E74F}" xr6:coauthVersionLast="47" xr6:coauthVersionMax="47" xr10:uidLastSave="{00000000-0000-0000-0000-000000000000}"/>
  <bookViews>
    <workbookView xWindow="-120" yWindow="-120" windowWidth="29040" windowHeight="16440" xr2:uid="{00000000-000D-0000-FFFF-FFFF00000000}"/>
  </bookViews>
  <sheets>
    <sheet name="FY 25 with notes (tax year 2024" sheetId="9" r:id="rId1"/>
  </sheets>
  <definedNames>
    <definedName name="_xlnm._FilterDatabase" localSheetId="0" hidden="1">'FY 25 with notes (tax year 2024'!$A$3:$AL$50</definedName>
    <definedName name="_xlnm.Print_Area" localSheetId="0">'FY 25 with notes (tax year 2024'!$A$1:$AL$67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3" i="9" l="1"/>
  <c r="AB63" i="9"/>
  <c r="AC64" i="9" l="1"/>
  <c r="AB64" i="9"/>
  <c r="AC62" i="9"/>
  <c r="AC61" i="9"/>
  <c r="AC60" i="9"/>
  <c r="U15" i="9" l="1"/>
  <c r="U45" i="9"/>
  <c r="AD46" i="9"/>
  <c r="AC46" i="9"/>
  <c r="U46" i="9"/>
  <c r="U47" i="9"/>
  <c r="U44" i="9"/>
  <c r="U27" i="9"/>
  <c r="U14" i="9"/>
  <c r="AK40" i="9"/>
  <c r="AD40" i="9"/>
  <c r="AF40" i="9"/>
  <c r="U40" i="9"/>
  <c r="W40" i="9" s="1"/>
  <c r="AH40" i="9" s="1"/>
  <c r="AK26" i="9"/>
  <c r="U26" i="9"/>
  <c r="Y26" i="9" s="1"/>
  <c r="AC9" i="9"/>
  <c r="AB9" i="9"/>
  <c r="U9" i="9"/>
  <c r="U39" i="9"/>
  <c r="U30" i="9"/>
  <c r="U29" i="9"/>
  <c r="U50" i="9"/>
  <c r="U41" i="9"/>
  <c r="X1" i="9"/>
  <c r="AD47" i="9" s="1"/>
  <c r="U24" i="9"/>
  <c r="U32" i="9"/>
  <c r="U38" i="9"/>
  <c r="U21" i="9"/>
  <c r="U7" i="9"/>
  <c r="AB19" i="9"/>
  <c r="AC19" i="9"/>
  <c r="U19" i="9"/>
  <c r="U37" i="9"/>
  <c r="U6" i="9"/>
  <c r="U36" i="9"/>
  <c r="U5" i="9"/>
  <c r="U34" i="9"/>
  <c r="U33" i="9"/>
  <c r="AD26" i="9" l="1"/>
  <c r="AF26" i="9" s="1"/>
  <c r="X26" i="9"/>
  <c r="AI26" i="9" s="1"/>
  <c r="W26" i="9"/>
  <c r="Y40" i="9"/>
  <c r="AJ40" i="9" s="1"/>
  <c r="X40" i="9"/>
  <c r="AK8" i="9"/>
  <c r="Y8" i="9"/>
  <c r="AJ8" i="9" s="1"/>
  <c r="W8" i="9"/>
  <c r="AH8" i="9" s="1"/>
  <c r="Y27" i="9"/>
  <c r="W27" i="9"/>
  <c r="AD27" i="9" l="1"/>
  <c r="AJ27" i="9" s="1"/>
  <c r="AH26" i="9"/>
  <c r="Z26" i="9"/>
  <c r="AH27" i="9"/>
  <c r="Z40" i="9"/>
  <c r="AL40" i="9" s="1"/>
  <c r="AI40" i="9"/>
  <c r="AL26" i="9"/>
  <c r="AJ26" i="9"/>
  <c r="W15" i="9"/>
  <c r="U13" i="9" l="1"/>
  <c r="W30" i="9" l="1"/>
  <c r="W29" i="9"/>
  <c r="X36" i="9" l="1"/>
  <c r="X8" i="9"/>
  <c r="X27" i="9"/>
  <c r="Y36" i="9"/>
  <c r="AD36" i="9" s="1"/>
  <c r="AF36" i="9" s="1"/>
  <c r="X14" i="9"/>
  <c r="W14" i="9"/>
  <c r="AB14" i="9" s="1"/>
  <c r="W36" i="9"/>
  <c r="AC47" i="9"/>
  <c r="Y14" i="9"/>
  <c r="AE14" i="9" l="1"/>
  <c r="AC14" i="9"/>
  <c r="Z27" i="9"/>
  <c r="AI27" i="9"/>
  <c r="AE27" i="9"/>
  <c r="AJ36" i="9"/>
  <c r="Z14" i="9"/>
  <c r="AI8" i="9"/>
  <c r="Z8" i="9"/>
  <c r="AL8" i="9" s="1"/>
  <c r="Z36" i="9"/>
  <c r="AL36" i="9" s="1"/>
  <c r="AH36" i="9"/>
  <c r="AK27" i="9" l="1"/>
  <c r="AF27" i="9"/>
  <c r="AL27" i="9" s="1"/>
  <c r="W64" i="9"/>
  <c r="Y64" i="9"/>
  <c r="W63" i="9"/>
  <c r="Y63" i="9"/>
  <c r="AB61" i="9"/>
  <c r="AD63" i="9"/>
  <c r="AD64" i="9"/>
  <c r="AJ64" i="9" l="1"/>
  <c r="AJ63" i="9"/>
  <c r="AH63" i="9"/>
  <c r="AH64" i="9"/>
  <c r="W11" i="9" l="1"/>
  <c r="AB11" i="9" s="1"/>
  <c r="Y11" i="9" l="1"/>
  <c r="AD11" i="9" s="1"/>
  <c r="AJ11" i="9" s="1"/>
  <c r="AH11" i="9"/>
  <c r="AK34" i="9" l="1"/>
  <c r="Y34" i="9"/>
  <c r="AD34" i="9" l="1"/>
  <c r="AF34" i="9" s="1"/>
  <c r="W34" i="9"/>
  <c r="AJ34" i="9" l="1"/>
  <c r="AH34" i="9"/>
  <c r="AB62" i="9" l="1"/>
  <c r="AB60" i="9"/>
  <c r="AK30" i="9" l="1"/>
  <c r="AH14" i="9"/>
  <c r="AI14" i="9"/>
  <c r="AK14" i="9"/>
  <c r="AD14" i="9"/>
  <c r="AJ14" i="9" s="1"/>
  <c r="Y30" i="9"/>
  <c r="AD30" i="9" s="1"/>
  <c r="AF30" i="9" s="1"/>
  <c r="AB29" i="9"/>
  <c r="X63" i="9" l="1"/>
  <c r="X64" i="9"/>
  <c r="X11" i="9"/>
  <c r="AC11" i="9" s="1"/>
  <c r="X34" i="9"/>
  <c r="AF14" i="9"/>
  <c r="AL14" i="9" s="1"/>
  <c r="AJ30" i="9"/>
  <c r="AH30" i="9"/>
  <c r="X30" i="9"/>
  <c r="AI30" i="9" s="1"/>
  <c r="W33" i="9"/>
  <c r="AI64" i="9" l="1"/>
  <c r="AE64" i="9" s="1"/>
  <c r="Z64" i="9"/>
  <c r="AE11" i="9"/>
  <c r="AI11" i="9"/>
  <c r="Z11" i="9"/>
  <c r="Z63" i="9"/>
  <c r="AI63" i="9"/>
  <c r="AI34" i="9"/>
  <c r="Z34" i="9"/>
  <c r="AL34" i="9" s="1"/>
  <c r="Z30" i="9"/>
  <c r="AL30" i="9" s="1"/>
  <c r="AE63" i="9" l="1"/>
  <c r="AK63" i="9" s="1"/>
  <c r="AK64" i="9"/>
  <c r="AF63" i="9"/>
  <c r="AL63" i="9" s="1"/>
  <c r="AF11" i="9"/>
  <c r="AL11" i="9" s="1"/>
  <c r="AK11" i="9"/>
  <c r="AE25" i="9"/>
  <c r="AK37" i="9"/>
  <c r="AF64" i="9" l="1"/>
  <c r="AL64" i="9" s="1"/>
  <c r="W60" i="9" l="1"/>
  <c r="AD62" i="9" l="1"/>
  <c r="Y62" i="9"/>
  <c r="W62" i="9"/>
  <c r="AK39" i="9"/>
  <c r="Y39" i="9"/>
  <c r="AD39" i="9" s="1"/>
  <c r="AF39" i="9" s="1"/>
  <c r="W39" i="9"/>
  <c r="AJ62" i="9" l="1"/>
  <c r="AH62" i="9"/>
  <c r="AJ39" i="9"/>
  <c r="AH39" i="9"/>
  <c r="AK41" i="9" l="1"/>
  <c r="W41" i="9"/>
  <c r="Y41" i="9" l="1"/>
  <c r="AH41" i="9"/>
  <c r="P21" i="9"/>
  <c r="S21" i="9"/>
  <c r="AD41" i="9" l="1"/>
  <c r="AF41" i="9" s="1"/>
  <c r="AC67" i="9"/>
  <c r="AJ41" i="9" l="1"/>
  <c r="AB67" i="9"/>
  <c r="AD61" i="9"/>
  <c r="AD60" i="9"/>
  <c r="AD67" i="9" l="1"/>
  <c r="Y61" i="9"/>
  <c r="AJ61" i="9" s="1"/>
  <c r="W61" i="9"/>
  <c r="AH61" i="9" l="1"/>
  <c r="AF50" i="9" l="1"/>
  <c r="AK50" i="9"/>
  <c r="W7" i="9" l="1"/>
  <c r="Y7" i="9"/>
  <c r="AB7" i="9" l="1"/>
  <c r="AD7" i="9"/>
  <c r="AJ7" i="9" s="1"/>
  <c r="AH7" i="9"/>
  <c r="Y50" i="9"/>
  <c r="AJ50" i="9" s="1"/>
  <c r="W50" i="9"/>
  <c r="AH50" i="9" l="1"/>
  <c r="AB33" i="9" l="1"/>
  <c r="AH33" i="9" s="1"/>
  <c r="AK33" i="9"/>
  <c r="Y33" i="9"/>
  <c r="AD33" i="9" l="1"/>
  <c r="AJ33" i="9" s="1"/>
  <c r="W24" i="9" l="1"/>
  <c r="AB24" i="9" s="1"/>
  <c r="AH24" i="9" l="1"/>
  <c r="Y24" i="9"/>
  <c r="AD24" i="9" l="1"/>
  <c r="AJ24" i="9" s="1"/>
  <c r="AH29" i="9"/>
  <c r="Y29" i="9"/>
  <c r="W6" i="9"/>
  <c r="AB6" i="9" l="1"/>
  <c r="Y6" i="9"/>
  <c r="AD29" i="9"/>
  <c r="Y60" i="9"/>
  <c r="W67" i="9" l="1"/>
  <c r="AH60" i="9"/>
  <c r="Y67" i="9"/>
  <c r="AJ60" i="9"/>
  <c r="AJ29" i="9"/>
  <c r="Y17" i="9"/>
  <c r="W17" i="9"/>
  <c r="AB17" i="9" l="1"/>
  <c r="AE17" i="9"/>
  <c r="AJ67" i="9"/>
  <c r="AK17" i="9"/>
  <c r="AH17" i="9"/>
  <c r="AH67" i="9"/>
  <c r="AD17" i="9"/>
  <c r="AJ17" i="9" s="1"/>
  <c r="AK44" i="9"/>
  <c r="Y44" i="9"/>
  <c r="AD44" i="9" s="1"/>
  <c r="AF44" i="9" s="1"/>
  <c r="W44" i="9"/>
  <c r="AH44" i="9" s="1"/>
  <c r="AJ44" i="9" l="1"/>
  <c r="Y21" i="9"/>
  <c r="W21" i="9"/>
  <c r="AB21" i="9" l="1"/>
  <c r="AH21" i="9" s="1"/>
  <c r="AD21" i="9"/>
  <c r="AK32" i="9"/>
  <c r="W32" i="9"/>
  <c r="AH32" i="9" s="1"/>
  <c r="Y32" i="9"/>
  <c r="X62" i="9" l="1"/>
  <c r="X39" i="9"/>
  <c r="X41" i="9"/>
  <c r="X61" i="9"/>
  <c r="X7" i="9"/>
  <c r="AE7" i="9" s="1"/>
  <c r="X50" i="9"/>
  <c r="X33" i="9"/>
  <c r="X24" i="9"/>
  <c r="AD32" i="9"/>
  <c r="AF32" i="9" s="1"/>
  <c r="X29" i="9"/>
  <c r="X60" i="9"/>
  <c r="X17" i="9"/>
  <c r="AC17" i="9" s="1"/>
  <c r="X32" i="9"/>
  <c r="AI32" i="9" s="1"/>
  <c r="X44" i="9"/>
  <c r="X21" i="9"/>
  <c r="AE21" i="9" s="1"/>
  <c r="AJ21" i="9"/>
  <c r="AC24" i="9" l="1"/>
  <c r="AE24" i="9" s="1"/>
  <c r="AK24" i="9" s="1"/>
  <c r="AC29" i="9"/>
  <c r="AI29" i="9" s="1"/>
  <c r="AE29" i="9"/>
  <c r="AK29" i="9" s="1"/>
  <c r="AC7" i="9"/>
  <c r="AK7" i="9"/>
  <c r="AI62" i="9"/>
  <c r="AE62" i="9" s="1"/>
  <c r="Z62" i="9"/>
  <c r="AI39" i="9"/>
  <c r="Z39" i="9"/>
  <c r="AL39" i="9" s="1"/>
  <c r="AC21" i="9"/>
  <c r="AI21" i="9" s="1"/>
  <c r="AI41" i="9"/>
  <c r="Z41" i="9"/>
  <c r="AL41" i="9" s="1"/>
  <c r="AK21" i="9"/>
  <c r="Z24" i="9"/>
  <c r="Z33" i="9"/>
  <c r="AC33" i="9"/>
  <c r="AF33" i="9" s="1"/>
  <c r="Z7" i="9"/>
  <c r="AI50" i="9"/>
  <c r="Z50" i="9"/>
  <c r="AL50" i="9" s="1"/>
  <c r="AI61" i="9"/>
  <c r="AE61" i="9" s="1"/>
  <c r="Z61" i="9"/>
  <c r="Z60" i="9"/>
  <c r="AI60" i="9"/>
  <c r="AE60" i="9" s="1"/>
  <c r="X67" i="9"/>
  <c r="AF17" i="9"/>
  <c r="Z17" i="9"/>
  <c r="Z32" i="9"/>
  <c r="AL32" i="9" s="1"/>
  <c r="Z29" i="9"/>
  <c r="AJ32" i="9"/>
  <c r="Z21" i="9"/>
  <c r="AI44" i="9"/>
  <c r="Z44" i="9"/>
  <c r="AL44" i="9" s="1"/>
  <c r="W45" i="9"/>
  <c r="AK45" i="9"/>
  <c r="AF62" i="9" l="1"/>
  <c r="AL62" i="9" s="1"/>
  <c r="AF7" i="9"/>
  <c r="AL7" i="9" s="1"/>
  <c r="AF29" i="9"/>
  <c r="AL29" i="9" s="1"/>
  <c r="AL33" i="9"/>
  <c r="AI7" i="9"/>
  <c r="Z67" i="9"/>
  <c r="AI33" i="9"/>
  <c r="AF21" i="9"/>
  <c r="AL21" i="9" s="1"/>
  <c r="AI24" i="9"/>
  <c r="AF24" i="9"/>
  <c r="AL24" i="9" s="1"/>
  <c r="AI67" i="9"/>
  <c r="AN67" i="9" s="1"/>
  <c r="AL17" i="9"/>
  <c r="AI17" i="9"/>
  <c r="AH45" i="9"/>
  <c r="Y45" i="9"/>
  <c r="AD45" i="9" s="1"/>
  <c r="AF45" i="9" s="1"/>
  <c r="AK5" i="9"/>
  <c r="Y5" i="9"/>
  <c r="AE67" i="9" l="1"/>
  <c r="AK62" i="9"/>
  <c r="AK61" i="9"/>
  <c r="AF61" i="9"/>
  <c r="AL61" i="9" s="1"/>
  <c r="AF60" i="9"/>
  <c r="AK60" i="9"/>
  <c r="AJ45" i="9"/>
  <c r="AD5" i="9"/>
  <c r="AJ5" i="9" s="1"/>
  <c r="W5" i="9"/>
  <c r="AF67" i="9" l="1"/>
  <c r="AK67" i="9"/>
  <c r="AL60" i="9"/>
  <c r="AL67" i="9" s="1"/>
  <c r="AB5" i="9"/>
  <c r="AH5" i="9" l="1"/>
  <c r="Y37" i="9" l="1"/>
  <c r="W37" i="9"/>
  <c r="AH37" i="9" s="1"/>
  <c r="AD37" i="9" l="1"/>
  <c r="AF37" i="9" s="1"/>
  <c r="AK48" i="9"/>
  <c r="AK47" i="9"/>
  <c r="AB47" i="9"/>
  <c r="Y47" i="9"/>
  <c r="AJ47" i="9" s="1"/>
  <c r="AK46" i="9"/>
  <c r="AK38" i="9"/>
  <c r="Y38" i="9"/>
  <c r="AD38" i="9" s="1"/>
  <c r="W38" i="9"/>
  <c r="AH38" i="9" s="1"/>
  <c r="AK19" i="9"/>
  <c r="W19" i="9"/>
  <c r="AK16" i="9"/>
  <c r="AJ16" i="9"/>
  <c r="AI16" i="9"/>
  <c r="AH16" i="9"/>
  <c r="AF16" i="9"/>
  <c r="Z16" i="9"/>
  <c r="AK15" i="9"/>
  <c r="AK12" i="9"/>
  <c r="Y12" i="9"/>
  <c r="AD12" i="9" s="1"/>
  <c r="AF12" i="9" s="1"/>
  <c r="W12" i="9"/>
  <c r="AH12" i="9" s="1"/>
  <c r="AK10" i="9"/>
  <c r="Y10" i="9"/>
  <c r="AD10" i="9" s="1"/>
  <c r="W10" i="9"/>
  <c r="Y9" i="9"/>
  <c r="AD9" i="9" s="1"/>
  <c r="P6" i="9"/>
  <c r="X45" i="9"/>
  <c r="AJ37" i="9" l="1"/>
  <c r="AI45" i="9"/>
  <c r="Z45" i="9"/>
  <c r="AL45" i="9" s="1"/>
  <c r="X6" i="9"/>
  <c r="AE6" i="9" s="1"/>
  <c r="X38" i="9"/>
  <c r="Z38" i="9" s="1"/>
  <c r="X5" i="9"/>
  <c r="AL16" i="9"/>
  <c r="AJ38" i="9"/>
  <c r="AF46" i="9"/>
  <c r="X46" i="9"/>
  <c r="AI46" i="9" s="1"/>
  <c r="X19" i="9"/>
  <c r="AI19" i="9" s="1"/>
  <c r="AF38" i="9"/>
  <c r="Y19" i="9"/>
  <c r="AD19" i="9" s="1"/>
  <c r="AF19" i="9" s="1"/>
  <c r="X10" i="9"/>
  <c r="Z10" i="9" s="1"/>
  <c r="X13" i="9"/>
  <c r="AC13" i="9" s="1"/>
  <c r="Y13" i="9"/>
  <c r="AF47" i="9"/>
  <c r="W9" i="9"/>
  <c r="X12" i="9"/>
  <c r="AI12" i="9" s="1"/>
  <c r="AD6" i="9"/>
  <c r="Y46" i="9"/>
  <c r="AJ46" i="9" s="1"/>
  <c r="X37" i="9"/>
  <c r="AJ12" i="9"/>
  <c r="AH19" i="9"/>
  <c r="Y15" i="9"/>
  <c r="AD15" i="9" s="1"/>
  <c r="X15" i="9"/>
  <c r="AI15" i="9" s="1"/>
  <c r="W48" i="9"/>
  <c r="AB48" i="9" s="1"/>
  <c r="Y48" i="9"/>
  <c r="AD48" i="9" s="1"/>
  <c r="X48" i="9"/>
  <c r="AC48" i="9" s="1"/>
  <c r="AH15" i="9"/>
  <c r="AJ10" i="9"/>
  <c r="AJ9" i="9"/>
  <c r="AB10" i="9"/>
  <c r="W47" i="9"/>
  <c r="X47" i="9"/>
  <c r="AI47" i="9" s="1"/>
  <c r="X9" i="9"/>
  <c r="W13" i="9"/>
  <c r="AB13" i="9" s="1"/>
  <c r="W46" i="9"/>
  <c r="AI48" i="9" l="1"/>
  <c r="AF48" i="9"/>
  <c r="AC6" i="9"/>
  <c r="AK6" i="9"/>
  <c r="AK13" i="9"/>
  <c r="Z37" i="9"/>
  <c r="AL37" i="9" s="1"/>
  <c r="AI37" i="9"/>
  <c r="AD13" i="9"/>
  <c r="AJ13" i="9" s="1"/>
  <c r="AI13" i="9"/>
  <c r="AH9" i="9"/>
  <c r="AE9" i="9"/>
  <c r="AC10" i="9"/>
  <c r="AI10" i="9" s="1"/>
  <c r="AN13" i="9"/>
  <c r="AC5" i="9"/>
  <c r="Z5" i="9"/>
  <c r="AL38" i="9"/>
  <c r="AJ19" i="9"/>
  <c r="Z19" i="9"/>
  <c r="AL19" i="9" s="1"/>
  <c r="AI38" i="9"/>
  <c r="Z12" i="9"/>
  <c r="AL12" i="9" s="1"/>
  <c r="W52" i="9"/>
  <c r="Z15" i="9"/>
  <c r="Y52" i="9"/>
  <c r="X52" i="9"/>
  <c r="Z13" i="9"/>
  <c r="AI9" i="9"/>
  <c r="AN9" i="9" s="1"/>
  <c r="Z9" i="9"/>
  <c r="Z47" i="9"/>
  <c r="AL47" i="9" s="1"/>
  <c r="AH47" i="9"/>
  <c r="AJ6" i="9"/>
  <c r="AH46" i="9"/>
  <c r="Z46" i="9"/>
  <c r="AL46" i="9" s="1"/>
  <c r="AF15" i="9"/>
  <c r="AH10" i="9"/>
  <c r="AH6" i="9"/>
  <c r="Z6" i="9"/>
  <c r="AH48" i="9"/>
  <c r="Z48" i="9"/>
  <c r="AL48" i="9" l="1"/>
  <c r="AJ48" i="9"/>
  <c r="AF6" i="9"/>
  <c r="AL6" i="9" s="1"/>
  <c r="AF9" i="9"/>
  <c r="AL9" i="9" s="1"/>
  <c r="AK9" i="9"/>
  <c r="AE52" i="9"/>
  <c r="AI6" i="9"/>
  <c r="AF10" i="9"/>
  <c r="AL10" i="9" s="1"/>
  <c r="AF13" i="9"/>
  <c r="AL13" i="9" s="1"/>
  <c r="AC52" i="9"/>
  <c r="AI5" i="9"/>
  <c r="AF5" i="9"/>
  <c r="AL5" i="9" s="1"/>
  <c r="AL15" i="9"/>
  <c r="Z52" i="9"/>
  <c r="AB52" i="9"/>
  <c r="AD52" i="9"/>
  <c r="AJ15" i="9"/>
  <c r="AJ52" i="9" s="1"/>
  <c r="AH13" i="9"/>
  <c r="AK52" i="9" l="1"/>
  <c r="AI52" i="9"/>
  <c r="AN52" i="9" s="1"/>
  <c r="AH52" i="9"/>
  <c r="AF52" i="9"/>
  <c r="AL52" i="9"/>
</calcChain>
</file>

<file path=xl/sharedStrings.xml><?xml version="1.0" encoding="utf-8"?>
<sst xmlns="http://schemas.openxmlformats.org/spreadsheetml/2006/main" count="365" uniqueCount="234">
  <si>
    <t>Company Name</t>
  </si>
  <si>
    <t>Jobs Commitment</t>
  </si>
  <si>
    <t xml:space="preserve">Average Wage </t>
  </si>
  <si>
    <t>All Tax Abated Properties Addresses</t>
  </si>
  <si>
    <t>Agreement Investment Notes</t>
  </si>
  <si>
    <t>Resolution Date</t>
  </si>
  <si>
    <t xml:space="preserve">Year Beginning </t>
  </si>
  <si>
    <t>Year Ending</t>
  </si>
  <si>
    <t>Primary Address Lat</t>
  </si>
  <si>
    <t>Primary Address Long</t>
  </si>
  <si>
    <t>N/A</t>
  </si>
  <si>
    <t>Olan Mills Drive</t>
  </si>
  <si>
    <t>3063 Hickory Valley Rd</t>
  </si>
  <si>
    <t>PLASTIC OMNIUM AUTO EXTERIORS, LLC</t>
  </si>
  <si>
    <t>3241 Hickory Valley Rd</t>
  </si>
  <si>
    <t>PROVIDENT/UNUM PROVIDENT CORP.</t>
  </si>
  <si>
    <t>473 Walnut St</t>
  </si>
  <si>
    <t>Compress St, 3480 Amnicola, 625 Hulsey</t>
  </si>
  <si>
    <t>RIVERCITY CO - MAJESTIC 12 THEATER</t>
  </si>
  <si>
    <t>311 Broad St</t>
  </si>
  <si>
    <t>VOLKSWAGEN GROUP OF AMERICA INC</t>
  </si>
  <si>
    <t>8001 Volkswagen Dr &amp; Discovery Dr</t>
  </si>
  <si>
    <t>UTC TWO LLC</t>
  </si>
  <si>
    <t>Lindsay St &amp; 615 Lindsay St</t>
  </si>
  <si>
    <t>UTC THREE LLC</t>
  </si>
  <si>
    <t>863 McCallie Ave</t>
  </si>
  <si>
    <t>WALNUT COMMONS LLC</t>
  </si>
  <si>
    <t>212 Walnut St</t>
  </si>
  <si>
    <t>Assessment on PILOT Properties</t>
  </si>
  <si>
    <t>Property Tax without PILOT Agreement</t>
  </si>
  <si>
    <t>City Taxes</t>
  </si>
  <si>
    <t>County General Tax</t>
  </si>
  <si>
    <t>County School Tax</t>
  </si>
  <si>
    <t>VOLKSWAGEN GROUP OF AMERICA INC - 2014</t>
  </si>
  <si>
    <t>Total Tax - w/o PILOT</t>
  </si>
  <si>
    <t>Net Cost of PILOT</t>
  </si>
  <si>
    <t>City</t>
  </si>
  <si>
    <t>County General Government</t>
  </si>
  <si>
    <t>County Schools</t>
  </si>
  <si>
    <t>Total Cost of PILOT</t>
  </si>
  <si>
    <t>City Council Approval</t>
  </si>
  <si>
    <t>County Commission Approval</t>
  </si>
  <si>
    <t>INDUSTRIAL DEVELOPMENT BOARD OF CHATTANOOGA</t>
  </si>
  <si>
    <t>HEALTH, EDUCATION AND HOUSING FACILITIES BOARD</t>
  </si>
  <si>
    <t>INDUSTRIAL DEVELOPMENT BOARD OF HAMILTON COUNTY</t>
  </si>
  <si>
    <t>302-41A</t>
  </si>
  <si>
    <t>614-19</t>
  </si>
  <si>
    <t>309-37</t>
  </si>
  <si>
    <t>1008-27</t>
  </si>
  <si>
    <t>1214-8</t>
  </si>
  <si>
    <t>SOUTHERN CHAMPION TRAY 2014</t>
  </si>
  <si>
    <t>Resolution</t>
  </si>
  <si>
    <t>1212-20</t>
  </si>
  <si>
    <t>1212-21</t>
  </si>
  <si>
    <t>1108-43</t>
  </si>
  <si>
    <t>714-31</t>
  </si>
  <si>
    <t>State Map No.</t>
  </si>
  <si>
    <t>135M-E-001</t>
  </si>
  <si>
    <t>135NB-A-003</t>
  </si>
  <si>
    <t>130-008.18, 24; Per 036767, Per 042026</t>
  </si>
  <si>
    <t>314-25</t>
  </si>
  <si>
    <t>Bill for Payments in Lieu of Taxes</t>
  </si>
  <si>
    <t>Total In Lieu of Taxes</t>
  </si>
  <si>
    <t>8002 Volkswagen Dr &amp; Discovery Dr</t>
  </si>
  <si>
    <t>Economic Dev. Fee</t>
  </si>
  <si>
    <t>Link to Resolution</t>
  </si>
  <si>
    <t>View</t>
  </si>
  <si>
    <t>COCA-COLA BOTTLING COMPANY UNITED</t>
  </si>
  <si>
    <t>McKEE FOODS (City of Collegedale)</t>
  </si>
  <si>
    <t>215-37</t>
  </si>
  <si>
    <t>515-28</t>
  </si>
  <si>
    <t>GESTAMP NORTH AMERICA, INC</t>
  </si>
  <si>
    <t>715-15</t>
  </si>
  <si>
    <t>GESTAMP CHATTANOOGA LLC (07/2010)</t>
  </si>
  <si>
    <t>UTC FIVE, LLC</t>
  </si>
  <si>
    <t>500 Lindsay Street</t>
  </si>
  <si>
    <t>HERITAGE-MACLELLAN APARTMENTS, LLC</t>
  </si>
  <si>
    <t>Agreement Notes</t>
  </si>
  <si>
    <t>Must reserve at least 20% of available units for lower income persons</t>
  </si>
  <si>
    <t>90 apts contemplated plus retail space; must reserve at least 20% of available units for lower income persons</t>
  </si>
  <si>
    <t>64 units contemplated; must reserve at least 20% of available units for lower income persons</t>
  </si>
  <si>
    <t>715-16</t>
  </si>
  <si>
    <t>715-17</t>
  </si>
  <si>
    <t>710-4</t>
  </si>
  <si>
    <t>1109-52</t>
  </si>
  <si>
    <t>1015-20</t>
  </si>
  <si>
    <t>added 4120 Jersey Pike Property</t>
  </si>
  <si>
    <t>10260 McKee Drive and 10638 Apison Pike</t>
  </si>
  <si>
    <t>1015-54</t>
  </si>
  <si>
    <t>130-001-.33; Per 046992</t>
  </si>
  <si>
    <t>145D-B-008, 012; Per 045379</t>
  </si>
  <si>
    <t>146H-E-001; Per 045380</t>
  </si>
  <si>
    <t>127L-A-022.01; 023; 135F-A-005; 003; Per 046890</t>
  </si>
  <si>
    <t>YANFENG US AUTOMOTIVE INTERIOR SYSTEMS I LLC PROJECT</t>
  </si>
  <si>
    <t>116-27</t>
  </si>
  <si>
    <t>ECG CHESTNUT, LP</t>
  </si>
  <si>
    <t>2108 Chestnut Street</t>
  </si>
  <si>
    <t>1116-3</t>
  </si>
  <si>
    <t>174 one and two bedroom units for low income housing</t>
  </si>
  <si>
    <t>138O-B-001.03; Per 047001</t>
  </si>
  <si>
    <t>135M-G-008; Per 048858</t>
  </si>
  <si>
    <t>135M-B-008 L001; Per 043664</t>
  </si>
  <si>
    <t>721 Broad Street</t>
  </si>
  <si>
    <t>1216-31</t>
  </si>
  <si>
    <t>STANDARD COOSA LOFTS, LLC</t>
  </si>
  <si>
    <t>1216-8</t>
  </si>
  <si>
    <t>500 W. MLK Blvd</t>
  </si>
  <si>
    <t>100% of dwelling units will be for lower income households</t>
  </si>
  <si>
    <t>Investment Commitment</t>
  </si>
  <si>
    <t>CHATTANOOGA HOUSING AUTHORITY</t>
  </si>
  <si>
    <t>Renovation of Jaycee Towers for low to moderate income elderly tenants.</t>
  </si>
  <si>
    <t>BLUE CROSS BLUE SHIELD OF TN INC</t>
  </si>
  <si>
    <t>1 &amp; 23 Cameron Hill Cir &amp; 505 E MLK Blvd</t>
  </si>
  <si>
    <t>135N-B-005, 005.01, 005.02; Per 031074</t>
  </si>
  <si>
    <t>305-34</t>
  </si>
  <si>
    <t>TSO CHATTANOOGA DEVELOPMENT, LP</t>
  </si>
  <si>
    <t>700 Market Street</t>
  </si>
  <si>
    <t>815-19</t>
  </si>
  <si>
    <t>145F-J-003; Per 048861</t>
  </si>
  <si>
    <t>145DA-D-010; Per 048428</t>
  </si>
  <si>
    <t>Per 050278</t>
  </si>
  <si>
    <t>7463 Bonnyshire Drive</t>
  </si>
  <si>
    <t>TAX INCREMENT FINANCING (TIF) AGREEMENTS</t>
  </si>
  <si>
    <t>Black Creek Mountain</t>
  </si>
  <si>
    <t>Martin Luther King Extension</t>
  </si>
  <si>
    <t>Development of associated Black Creek Mountain property</t>
  </si>
  <si>
    <t>Assessment on TIF Properties</t>
  </si>
  <si>
    <t>Property Tax without TIF Agreement</t>
  </si>
  <si>
    <t>Net Cost of TIF</t>
  </si>
  <si>
    <t xml:space="preserve">Total </t>
  </si>
  <si>
    <t>612-27</t>
  </si>
  <si>
    <t>318-14</t>
  </si>
  <si>
    <t>1217-30</t>
  </si>
  <si>
    <t>ALCO WOODLAWN PARTNERS, LP   (BAYBERRY APARTMENTS DEVELOPMENT)</t>
  </si>
  <si>
    <t>2300 Wilson Street; 1101 Arlington Avenue and 2300 Windsor Street</t>
  </si>
  <si>
    <t>RIDGEWAY HOUSING PARTNERS, L.P.</t>
  </si>
  <si>
    <t>1018-4</t>
  </si>
  <si>
    <t>1230 Poplar Street</t>
  </si>
  <si>
    <t>120 one, two and three bedroom units, multifamily, low income housing tax credit apartment project</t>
  </si>
  <si>
    <t xml:space="preserve">130-001.25; Per 038692;       </t>
  </si>
  <si>
    <t>145CB-A-005; Per 051475</t>
  </si>
  <si>
    <t>141-033 L000; Per 10052016</t>
  </si>
  <si>
    <t>M&amp;M INDUSTRIES, INC</t>
  </si>
  <si>
    <t>1435 East 14th Street and 316 Corporate Place</t>
  </si>
  <si>
    <t>1117-27</t>
  </si>
  <si>
    <t>RIVERVIEW HOUSING ASSOCIATES, L.P.  (JAYCEE TOWER)</t>
  </si>
  <si>
    <t>GESTAMP CHATTANOOGA LLC (II)</t>
  </si>
  <si>
    <t>145C-B-007; Per 10052783</t>
  </si>
  <si>
    <t>130-001.34; Per 048704</t>
  </si>
  <si>
    <t>130-001.26; 138I-A-003;        Per 049271; Per 048703</t>
  </si>
  <si>
    <t>PATTEN AFFORDABLE PARTNERS, LP</t>
  </si>
  <si>
    <t>119-16</t>
  </si>
  <si>
    <t>1 East 11th Street</t>
  </si>
  <si>
    <t>43 new and 270 retained jobs</t>
  </si>
  <si>
    <t>City will receive Stormwater Fee, and HCDE will receive 100% of School tax due less City Stormwater Fee.</t>
  </si>
  <si>
    <t xml:space="preserve"> Minimum jobs requirement - 260</t>
  </si>
  <si>
    <t>Admin. Fee</t>
  </si>
  <si>
    <t>1700 &amp; 1800 South Watkins Street</t>
  </si>
  <si>
    <t xml:space="preserve">Property Tax retained by City and County </t>
  </si>
  <si>
    <t>Total Tax - w/o TIF</t>
  </si>
  <si>
    <t>Total Cost of TIF</t>
  </si>
  <si>
    <t>319-14</t>
  </si>
  <si>
    <t>Amended and restated agreement 03/20/19 adds an additional 150 jobs by 2023 and and additional $48M in expansion of facility</t>
  </si>
  <si>
    <t>145F-A-005; Per 10054385</t>
  </si>
  <si>
    <t>MA 1400 CHESTNUT LLC</t>
  </si>
  <si>
    <t>East Chattanooga Rising (Tubman)</t>
  </si>
  <si>
    <t>1219-27</t>
  </si>
  <si>
    <t>Proceeds from TIF toward infrastructure and road impr. - approx. $4 million plus interest</t>
  </si>
  <si>
    <t>320-25</t>
  </si>
  <si>
    <t>10261 McKee Drive and 10638 Apison Pike</t>
  </si>
  <si>
    <t>Expansion of facilities</t>
  </si>
  <si>
    <t>146O-C-001 L000;                154-009.09L000;                  Per 10053579; Per 10053580</t>
  </si>
  <si>
    <t>SOUTHERN CHAMPION TRAY 2020</t>
  </si>
  <si>
    <t>820-26</t>
  </si>
  <si>
    <t>CHATTANOOGA NEIGHBORHOOD ENTERPRISE, INC  MAI BELL 2 RESIDENTIAL PROJECT</t>
  </si>
  <si>
    <t>1715 Union Avenue</t>
  </si>
  <si>
    <t>321-14</t>
  </si>
  <si>
    <t>146D-A-001; 146D-A-009;  146D-D-003; Per 10051748</t>
  </si>
  <si>
    <t>140-172 L000; Per 10058089</t>
  </si>
  <si>
    <t>1121-33</t>
  </si>
  <si>
    <t>STEAM LOGISTICS</t>
  </si>
  <si>
    <t>721-6</t>
  </si>
  <si>
    <t>PUREGRAPHITE LLC / NOVONIX LLC</t>
  </si>
  <si>
    <t>RESERVE AT MOUNTAIN PASS</t>
  </si>
  <si>
    <t>421-30</t>
  </si>
  <si>
    <t>4905 Central Avenue</t>
  </si>
  <si>
    <t>240 units</t>
  </si>
  <si>
    <t>47 units</t>
  </si>
  <si>
    <t>APP BATTERY PARTNERS, LLLP</t>
  </si>
  <si>
    <t>3401 Campbell Street</t>
  </si>
  <si>
    <t>1220-33</t>
  </si>
  <si>
    <t>142 one, two &amp; three bedroom units</t>
  </si>
  <si>
    <t>South Broad District</t>
  </si>
  <si>
    <t>North River Commerce Center</t>
  </si>
  <si>
    <t>822-24</t>
  </si>
  <si>
    <t>722-34</t>
  </si>
  <si>
    <t>128P-N-003; Per 10060864</t>
  </si>
  <si>
    <t>145D-X-007; Per 10055812</t>
  </si>
  <si>
    <t>Capped at $3.5 million for MLK extension plus $1.7 million for carried interest, fees, etc.</t>
  </si>
  <si>
    <t xml:space="preserve">Primarily to pay debt service associated with Sports Authority debt to be incurred for construction of Lookouts baseball stadium </t>
  </si>
  <si>
    <t>Infrastructure improvements up to $23.5 million for development of new industrial park</t>
  </si>
  <si>
    <t>20 year time period beginning upon completion of capital improvements on each respective parcel(s)</t>
  </si>
  <si>
    <t>30 year time period beginning upon completion of capital improvements on each respective parcel(s)</t>
  </si>
  <si>
    <t>Projected investment of at least $350,000,000</t>
  </si>
  <si>
    <t>Projected investment of $106,000,000</t>
  </si>
  <si>
    <t>125 residential rental units plus retail and office space and parking structure, must reserve at least 20% of available units for lower income persons</t>
  </si>
  <si>
    <t>146J-P-010; Per 10063234</t>
  </si>
  <si>
    <t>135MA-A-003; Per 10063235</t>
  </si>
  <si>
    <t>325 Market Street</t>
  </si>
  <si>
    <t>TEXTILE PRINTING COMPANY</t>
  </si>
  <si>
    <t>423-26</t>
  </si>
  <si>
    <t>KORDSA, INC</t>
  </si>
  <si>
    <t>523-21</t>
  </si>
  <si>
    <t>Bend Development Project</t>
  </si>
  <si>
    <t>1123-4</t>
  </si>
  <si>
    <t>TIF proceeds used for Infrastructure improvements up to $100 million for development of approx. 90 acres for mixed-use development, plus certain public projects in downtown Chattanooga</t>
  </si>
  <si>
    <t>Projected investment of at least $4 billion in capital investment</t>
  </si>
  <si>
    <t>CHATTANOOGA NEIGHBORHOOD ENTERPRISE, INC  BAILEY PARK RESIDENTIAL PROJECT</t>
  </si>
  <si>
    <t>2003 Bailey Avenue</t>
  </si>
  <si>
    <t>1223-14</t>
  </si>
  <si>
    <t>32 units, 16 of which are restricted at 80% AMI rents or less</t>
  </si>
  <si>
    <t>SHALLOWFORD POINTE (DGA SHALLOWFORD LP)</t>
  </si>
  <si>
    <t>2024 City taxes billed</t>
  </si>
  <si>
    <t>2024 County taxes billed</t>
  </si>
  <si>
    <t>2024 School taxes billed</t>
  </si>
  <si>
    <t xml:space="preserve">2024 City </t>
  </si>
  <si>
    <t>2024 County</t>
  </si>
  <si>
    <t>2024 School</t>
  </si>
  <si>
    <t>220 Compress Street</t>
  </si>
  <si>
    <t>127K-A-001.29; Per 100636221; Per 10065953</t>
  </si>
  <si>
    <t>167F-A-003; Per 10066955</t>
  </si>
  <si>
    <t>6107 Ringgold Road</t>
  </si>
  <si>
    <t>169L-F-040; Per 10065380</t>
  </si>
  <si>
    <r>
      <rPr>
        <b/>
        <sz val="10"/>
        <rFont val="Arial"/>
        <family val="2"/>
      </rPr>
      <t>NOTE:</t>
    </r>
    <r>
      <rPr>
        <sz val="10"/>
        <rFont val="Arial"/>
        <family val="2"/>
      </rPr>
      <t xml:space="preserve"> PILOT agreements for companies shaded in BLUE have been approved by each of the County and City legislative bodies, but the agreements have not become effective as of Tax Year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</si>
</sst>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1" formatCode="_(* #,##0_);_(* \(#,##0\);_(* &quot;-&quot;_);_(@_)"/>
    <numFmt numFmtId="44" formatCode="_(&quot;$&quot;* #,##0.00_);_(&quot;$&quot;* \(#,##0.00\);_(&quot;$&quot;* &quot;-&quot;??_);_(@_)"/>
    <numFmt numFmtId="43" formatCode="_(* #,##0.00_);_(* \(#,##0.00\);_(* &quot;-&quot;??_);_(@_)"/>
    <numFmt numFmtId="164" formatCode="&quot;$&quot;#,##0.00"/>
    <numFmt numFmtId="165" formatCode="_(* #,##0.0000_);_(* \(#,##0.0000\);_(* &quot;-&quot;_);_(@_)"/>
    <numFmt numFmtId="166" formatCode="_(* #,##0.0000_);_(* \(#,##0.0000\);_(* &quot;-&quot;??_);_(@_)"/>
    <numFmt numFmtId="167" formatCode="_(* #,##0_);_(* \(#,##0\);_(* &quot;-&quot;??_);_(@_)"/>
  </numFmts>
  <fonts count="20" x14ac:knownFonts="1">
    <font>
      <sz val="10"/>
      <name val="Arial"/>
    </font>
    <font>
      <b/>
      <sz val="10"/>
      <name val="Arial"/>
      <family val="2"/>
    </font>
    <font>
      <b/>
      <u/>
      <sz val="10"/>
      <name val="Arial"/>
      <family val="2"/>
    </font>
    <font>
      <b/>
      <u/>
      <sz val="10"/>
      <name val="Arial"/>
      <family val="2"/>
    </font>
    <font>
      <sz val="10"/>
      <color rgb="FF000000"/>
      <name val="Arial"/>
      <family val="2"/>
    </font>
    <font>
      <sz val="10"/>
      <name val="Arial"/>
      <family val="2"/>
    </font>
    <font>
      <b/>
      <u/>
      <sz val="10"/>
      <name val="Arial"/>
      <family val="2"/>
    </font>
    <font>
      <b/>
      <sz val="10"/>
      <name val="Arial"/>
      <family val="2"/>
    </font>
    <font>
      <i/>
      <sz val="10"/>
      <name val="Arial"/>
      <family val="2"/>
    </font>
    <font>
      <b/>
      <u/>
      <sz val="14"/>
      <name val="Arial"/>
      <family val="2"/>
    </font>
    <font>
      <u/>
      <sz val="10"/>
      <color theme="10"/>
      <name val="Arial"/>
      <family val="2"/>
    </font>
    <font>
      <b/>
      <sz val="10"/>
      <color rgb="FF000000"/>
      <name val="Arial"/>
      <family val="2"/>
    </font>
    <font>
      <u/>
      <sz val="10"/>
      <color theme="10"/>
      <name val="Arial"/>
      <family val="2"/>
    </font>
    <font>
      <sz val="9"/>
      <name val="Arial"/>
      <family val="2"/>
    </font>
    <font>
      <b/>
      <sz val="10"/>
      <color rgb="FFFF0000"/>
      <name val="Arial"/>
      <family val="2"/>
    </font>
    <font>
      <sz val="10"/>
      <name val="Arial"/>
      <family val="2"/>
    </font>
    <font>
      <u/>
      <sz val="10"/>
      <color rgb="FFFF0000"/>
      <name val="Arial"/>
      <family val="2"/>
    </font>
    <font>
      <u/>
      <sz val="10"/>
      <name val="Arial"/>
      <family val="2"/>
    </font>
    <font>
      <sz val="10"/>
      <name val="Arial"/>
      <family val="2"/>
    </font>
    <font>
      <i/>
      <sz val="10"/>
      <color theme="0"/>
      <name val="Arial"/>
      <family val="2"/>
    </font>
  </fonts>
  <fills count="13">
    <fill>
      <patternFill patternType="none"/>
    </fill>
    <fill>
      <patternFill patternType="gray125"/>
    </fill>
    <fill>
      <patternFill patternType="solid">
        <fgColor rgb="FFF9CB9C"/>
        <bgColor rgb="FFF9CB9C"/>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79998168889431442"/>
        <bgColor rgb="FFFFD966"/>
      </patternFill>
    </fill>
    <fill>
      <patternFill patternType="solid">
        <fgColor theme="5" tint="0.79998168889431442"/>
        <bgColor rgb="FFF9CB9C"/>
      </patternFill>
    </fill>
    <fill>
      <patternFill patternType="solid">
        <fgColor theme="3" tint="0.79998168889431442"/>
        <bgColor indexed="64"/>
      </patternFill>
    </fill>
    <fill>
      <patternFill patternType="solid">
        <fgColor theme="3" tint="0.79998168889431442"/>
        <bgColor rgb="FFFFD966"/>
      </patternFill>
    </fill>
    <fill>
      <patternFill patternType="solid">
        <fgColor theme="3" tint="0.79998168889431442"/>
        <bgColor rgb="FFF9CB9C"/>
      </patternFill>
    </fill>
    <fill>
      <patternFill patternType="solid">
        <fgColor rgb="FFFF0000"/>
        <bgColor indexed="64"/>
      </patternFill>
    </fill>
    <fill>
      <patternFill patternType="solid">
        <fgColor theme="8" tint="0.59999389629810485"/>
        <bgColor indexed="64"/>
      </patternFill>
    </fill>
    <fill>
      <patternFill patternType="solid">
        <fgColor rgb="FFFFFF00"/>
        <bgColor indexed="64"/>
      </patternFill>
    </fill>
  </fills>
  <borders count="8">
    <border>
      <left/>
      <right/>
      <top/>
      <bottom/>
      <diagonal/>
    </border>
    <border>
      <left/>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right/>
      <top/>
      <bottom style="dotted">
        <color auto="1"/>
      </bottom>
      <diagonal/>
    </border>
    <border>
      <left/>
      <right/>
      <top style="dotted">
        <color auto="1"/>
      </top>
      <bottom style="dotted">
        <color auto="1"/>
      </bottom>
      <diagonal/>
    </border>
    <border>
      <left/>
      <right/>
      <top style="dotted">
        <color auto="1"/>
      </top>
      <bottom/>
      <diagonal/>
    </border>
  </borders>
  <cellStyleXfs count="9">
    <xf numFmtId="0" fontId="0" fillId="0" borderId="0"/>
    <xf numFmtId="0" fontId="10" fillId="0" borderId="1" applyNumberFormat="0" applyFill="0" applyBorder="0" applyAlignment="0" applyProtection="0"/>
    <xf numFmtId="0" fontId="10" fillId="0" borderId="1" applyNumberFormat="0" applyFill="0" applyBorder="0" applyAlignment="0" applyProtection="0"/>
    <xf numFmtId="0" fontId="5" fillId="0" borderId="1"/>
    <xf numFmtId="0" fontId="12" fillId="0" borderId="0" applyNumberFormat="0" applyFill="0" applyBorder="0" applyAlignment="0" applyProtection="0"/>
    <xf numFmtId="44" fontId="15" fillId="0" borderId="0" applyFont="0" applyFill="0" applyBorder="0" applyAlignment="0" applyProtection="0"/>
    <xf numFmtId="0" fontId="15" fillId="0" borderId="1"/>
    <xf numFmtId="0" fontId="15" fillId="0" borderId="1"/>
    <xf numFmtId="9" fontId="18" fillId="0" borderId="0" applyFont="0" applyFill="0" applyBorder="0" applyAlignment="0" applyProtection="0"/>
  </cellStyleXfs>
  <cellXfs count="240">
    <xf numFmtId="0" fontId="0" fillId="0" borderId="0" xfId="0"/>
    <xf numFmtId="41" fontId="0" fillId="0" borderId="0" xfId="0" applyNumberFormat="1"/>
    <xf numFmtId="165" fontId="8" fillId="0" borderId="0" xfId="0" applyNumberFormat="1" applyFont="1"/>
    <xf numFmtId="165" fontId="8" fillId="0" borderId="1" xfId="0" applyNumberFormat="1" applyFont="1" applyBorder="1"/>
    <xf numFmtId="41" fontId="7" fillId="0" borderId="1" xfId="0" applyNumberFormat="1" applyFont="1" applyBorder="1" applyAlignment="1">
      <alignment horizontal="centerContinuous"/>
    </xf>
    <xf numFmtId="41" fontId="0" fillId="0" borderId="1" xfId="0" applyNumberFormat="1" applyBorder="1"/>
    <xf numFmtId="41" fontId="7" fillId="3" borderId="2" xfId="0" applyNumberFormat="1" applyFont="1" applyFill="1" applyBorder="1" applyAlignment="1">
      <alignment horizontal="centerContinuous"/>
    </xf>
    <xf numFmtId="0" fontId="2" fillId="0" borderId="1" xfId="0" applyFont="1" applyBorder="1" applyAlignment="1">
      <alignment horizontal="center" wrapText="1"/>
    </xf>
    <xf numFmtId="41" fontId="2" fillId="0" borderId="1" xfId="0" applyNumberFormat="1" applyFont="1" applyBorder="1" applyAlignment="1">
      <alignment horizontal="center" wrapText="1"/>
    </xf>
    <xf numFmtId="41" fontId="2" fillId="3" borderId="1" xfId="0" applyNumberFormat="1" applyFont="1" applyFill="1" applyBorder="1" applyAlignment="1">
      <alignment horizontal="center" wrapText="1"/>
    </xf>
    <xf numFmtId="41" fontId="6" fillId="3" borderId="1" xfId="0" applyNumberFormat="1" applyFont="1" applyFill="1" applyBorder="1" applyAlignment="1">
      <alignment horizontal="center" wrapText="1"/>
    </xf>
    <xf numFmtId="41" fontId="2" fillId="5" borderId="1" xfId="0" applyNumberFormat="1" applyFont="1" applyFill="1" applyBorder="1" applyAlignment="1">
      <alignment horizontal="center" wrapText="1"/>
    </xf>
    <xf numFmtId="14" fontId="2" fillId="0" borderId="1" xfId="0" applyNumberFormat="1" applyFont="1" applyBorder="1" applyAlignment="1">
      <alignment horizontal="center" wrapText="1"/>
    </xf>
    <xf numFmtId="0" fontId="0" fillId="0" borderId="0" xfId="0" applyAlignment="1">
      <alignment wrapText="1"/>
    </xf>
    <xf numFmtId="41" fontId="6" fillId="0" borderId="1" xfId="0" applyNumberFormat="1" applyFont="1" applyBorder="1" applyAlignment="1">
      <alignment horizontal="center" wrapText="1"/>
    </xf>
    <xf numFmtId="0" fontId="9" fillId="0" borderId="1" xfId="0" applyFont="1" applyBorder="1" applyAlignment="1">
      <alignment horizontal="left"/>
    </xf>
    <xf numFmtId="41" fontId="2" fillId="8" borderId="1" xfId="0" applyNumberFormat="1" applyFont="1" applyFill="1" applyBorder="1" applyAlignment="1">
      <alignment horizontal="center" wrapText="1"/>
    </xf>
    <xf numFmtId="41" fontId="11" fillId="4" borderId="3" xfId="0" applyNumberFormat="1" applyFont="1" applyFill="1" applyBorder="1" applyAlignment="1">
      <alignment horizontal="center"/>
    </xf>
    <xf numFmtId="0" fontId="2" fillId="10" borderId="1" xfId="0" applyFont="1" applyFill="1" applyBorder="1" applyAlignment="1">
      <alignment horizontal="center" wrapText="1"/>
    </xf>
    <xf numFmtId="41" fontId="11" fillId="7" borderId="3" xfId="0" applyNumberFormat="1" applyFont="1" applyFill="1" applyBorder="1" applyAlignment="1">
      <alignment horizontal="center"/>
    </xf>
    <xf numFmtId="41" fontId="11" fillId="3" borderId="3" xfId="0" applyNumberFormat="1" applyFont="1" applyFill="1" applyBorder="1" applyAlignment="1">
      <alignment horizontal="center"/>
    </xf>
    <xf numFmtId="0" fontId="0" fillId="0" borderId="0" xfId="0" applyAlignment="1">
      <alignment horizontal="left"/>
    </xf>
    <xf numFmtId="0" fontId="2" fillId="0" borderId="1" xfId="0" applyFont="1" applyBorder="1" applyAlignment="1">
      <alignment horizontal="left" wrapText="1"/>
    </xf>
    <xf numFmtId="5" fontId="2" fillId="0" borderId="1" xfId="0" applyNumberFormat="1" applyFont="1" applyBorder="1" applyAlignment="1">
      <alignment horizontal="center" wrapText="1"/>
    </xf>
    <xf numFmtId="0" fontId="0" fillId="0" borderId="0" xfId="0" applyAlignment="1">
      <alignment horizontal="left" wrapText="1"/>
    </xf>
    <xf numFmtId="5" fontId="0" fillId="0" borderId="0" xfId="0" applyNumberFormat="1" applyAlignment="1">
      <alignment horizontal="center"/>
    </xf>
    <xf numFmtId="41" fontId="14" fillId="0" borderId="0" xfId="0" applyNumberFormat="1" applyFont="1"/>
    <xf numFmtId="43" fontId="2" fillId="0" borderId="1" xfId="0" applyNumberFormat="1" applyFont="1" applyBorder="1" applyAlignment="1">
      <alignment horizontal="center" wrapText="1"/>
    </xf>
    <xf numFmtId="41" fontId="1" fillId="0" borderId="1" xfId="0" applyNumberFormat="1" applyFont="1" applyBorder="1" applyAlignment="1">
      <alignment horizontal="center"/>
    </xf>
    <xf numFmtId="0" fontId="0" fillId="0" borderId="0" xfId="0" applyAlignment="1">
      <alignment horizontal="center"/>
    </xf>
    <xf numFmtId="41" fontId="0" fillId="0" borderId="1" xfId="0" applyNumberFormat="1" applyBorder="1" applyAlignment="1">
      <alignment horizontal="center"/>
    </xf>
    <xf numFmtId="0" fontId="0" fillId="11" borderId="0" xfId="0" applyFill="1"/>
    <xf numFmtId="0" fontId="5" fillId="0" borderId="5" xfId="0" applyFont="1" applyBorder="1" applyAlignment="1">
      <alignment horizontal="center" vertical="top"/>
    </xf>
    <xf numFmtId="0" fontId="5" fillId="0" borderId="5" xfId="0" applyFont="1" applyBorder="1" applyAlignment="1">
      <alignment horizontal="center" vertical="top" wrapText="1"/>
    </xf>
    <xf numFmtId="14" fontId="5" fillId="0" borderId="5" xfId="0" applyNumberFormat="1" applyFont="1" applyBorder="1" applyAlignment="1">
      <alignment horizontal="center" vertical="top"/>
    </xf>
    <xf numFmtId="0" fontId="5" fillId="0" borderId="0" xfId="0" applyFont="1" applyAlignment="1">
      <alignment vertical="top"/>
    </xf>
    <xf numFmtId="0" fontId="5" fillId="0" borderId="6" xfId="0" applyFont="1" applyBorder="1" applyAlignment="1">
      <alignment vertical="top" wrapText="1"/>
    </xf>
    <xf numFmtId="0" fontId="5" fillId="0" borderId="6" xfId="0" applyFont="1" applyBorder="1" applyAlignment="1">
      <alignment vertical="top"/>
    </xf>
    <xf numFmtId="0" fontId="5" fillId="0" borderId="6" xfId="0" applyFont="1" applyBorder="1" applyAlignment="1">
      <alignment horizontal="center" vertical="top"/>
    </xf>
    <xf numFmtId="0" fontId="5" fillId="0" borderId="6" xfId="0" applyFont="1" applyBorder="1" applyAlignment="1">
      <alignment horizontal="center" vertical="top" wrapText="1"/>
    </xf>
    <xf numFmtId="14" fontId="5" fillId="0" borderId="6" xfId="0" applyNumberFormat="1" applyFont="1" applyBorder="1" applyAlignment="1">
      <alignment horizontal="center" vertical="top"/>
    </xf>
    <xf numFmtId="14" fontId="10" fillId="0" borderId="6" xfId="2" applyNumberFormat="1" applyBorder="1" applyAlignment="1">
      <alignment horizontal="center" vertical="top"/>
    </xf>
    <xf numFmtId="41" fontId="5" fillId="0" borderId="6" xfId="0" applyNumberFormat="1" applyFont="1" applyBorder="1" applyAlignment="1">
      <alignment horizontal="center" vertical="top"/>
    </xf>
    <xf numFmtId="5" fontId="5" fillId="0" borderId="6" xfId="0" applyNumberFormat="1" applyFont="1" applyBorder="1" applyAlignment="1">
      <alignment horizontal="center" vertical="top" wrapText="1"/>
    </xf>
    <xf numFmtId="164" fontId="5" fillId="0" borderId="6" xfId="0" applyNumberFormat="1" applyFont="1" applyBorder="1" applyAlignment="1">
      <alignment horizontal="left" vertical="top" wrapText="1"/>
    </xf>
    <xf numFmtId="41" fontId="5" fillId="3" borderId="6" xfId="0" applyNumberFormat="1" applyFont="1" applyFill="1" applyBorder="1" applyAlignment="1">
      <alignment horizontal="center" vertical="top"/>
    </xf>
    <xf numFmtId="41" fontId="5" fillId="7" borderId="6" xfId="0" applyNumberFormat="1" applyFont="1" applyFill="1" applyBorder="1" applyAlignment="1">
      <alignment horizontal="center" vertical="top"/>
    </xf>
    <xf numFmtId="41" fontId="5" fillId="9" borderId="6" xfId="0" applyNumberFormat="1" applyFont="1" applyFill="1" applyBorder="1" applyAlignment="1">
      <alignment horizontal="center" vertical="top"/>
    </xf>
    <xf numFmtId="41" fontId="4" fillId="4" borderId="6" xfId="0" applyNumberFormat="1" applyFont="1" applyFill="1" applyBorder="1" applyAlignment="1">
      <alignment horizontal="center" vertical="top"/>
    </xf>
    <xf numFmtId="41" fontId="4" fillId="6" borderId="6" xfId="0" applyNumberFormat="1" applyFont="1" applyFill="1" applyBorder="1" applyAlignment="1">
      <alignment horizontal="center" vertical="top"/>
    </xf>
    <xf numFmtId="0" fontId="5" fillId="0" borderId="6" xfId="0" applyFont="1" applyBorder="1" applyAlignment="1">
      <alignment horizontal="right" vertical="top" wrapText="1"/>
    </xf>
    <xf numFmtId="0" fontId="5" fillId="0" borderId="1" xfId="0" applyFont="1" applyBorder="1" applyAlignment="1">
      <alignment vertical="top" wrapText="1"/>
    </xf>
    <xf numFmtId="0" fontId="5" fillId="0" borderId="1" xfId="0" applyFont="1" applyBorder="1" applyAlignment="1">
      <alignment vertical="top"/>
    </xf>
    <xf numFmtId="0" fontId="5" fillId="0" borderId="1" xfId="0" applyFont="1" applyBorder="1" applyAlignment="1">
      <alignment horizontal="center" vertical="top"/>
    </xf>
    <xf numFmtId="0" fontId="5" fillId="0" borderId="1" xfId="0" applyFont="1" applyBorder="1" applyAlignment="1">
      <alignment horizontal="center" vertical="top" wrapText="1"/>
    </xf>
    <xf numFmtId="14" fontId="5" fillId="0" borderId="1" xfId="0" applyNumberFormat="1" applyFont="1" applyBorder="1" applyAlignment="1">
      <alignment horizontal="center" vertical="top"/>
    </xf>
    <xf numFmtId="14" fontId="10" fillId="0" borderId="1" xfId="2" applyNumberFormat="1" applyBorder="1" applyAlignment="1">
      <alignment horizontal="center" vertical="top"/>
    </xf>
    <xf numFmtId="41" fontId="5" fillId="0" borderId="1" xfId="0" applyNumberFormat="1" applyFont="1" applyBorder="1" applyAlignment="1">
      <alignment horizontal="center" vertical="top"/>
    </xf>
    <xf numFmtId="0" fontId="4" fillId="0" borderId="1" xfId="0" applyFont="1" applyBorder="1" applyAlignment="1">
      <alignment horizontal="center" vertical="top"/>
    </xf>
    <xf numFmtId="14" fontId="4" fillId="0" borderId="1" xfId="0" applyNumberFormat="1" applyFont="1" applyBorder="1" applyAlignment="1">
      <alignment horizontal="center" vertical="top"/>
    </xf>
    <xf numFmtId="14" fontId="10" fillId="0" borderId="1" xfId="2" applyNumberFormat="1" applyFill="1" applyBorder="1" applyAlignment="1">
      <alignment horizontal="center" vertical="top"/>
    </xf>
    <xf numFmtId="0" fontId="5" fillId="0" borderId="1" xfId="0" applyFont="1" applyBorder="1" applyAlignment="1">
      <alignment horizontal="right" vertical="top" wrapText="1"/>
    </xf>
    <xf numFmtId="5" fontId="5"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41" fontId="4" fillId="0" borderId="1" xfId="0" applyNumberFormat="1" applyFont="1" applyBorder="1" applyAlignment="1">
      <alignment horizontal="center" vertical="top" wrapText="1"/>
    </xf>
    <xf numFmtId="41" fontId="5" fillId="3" borderId="1" xfId="0" applyNumberFormat="1" applyFont="1" applyFill="1" applyBorder="1" applyAlignment="1">
      <alignment horizontal="center" vertical="top"/>
    </xf>
    <xf numFmtId="167" fontId="5" fillId="7" borderId="1" xfId="0" applyNumberFormat="1" applyFont="1" applyFill="1" applyBorder="1" applyAlignment="1">
      <alignment horizontal="center" vertical="top"/>
    </xf>
    <xf numFmtId="41" fontId="5" fillId="7" borderId="1" xfId="0" applyNumberFormat="1" applyFont="1" applyFill="1" applyBorder="1" applyAlignment="1">
      <alignment horizontal="center" vertical="top"/>
    </xf>
    <xf numFmtId="41" fontId="4" fillId="4" borderId="1" xfId="0" applyNumberFormat="1" applyFont="1" applyFill="1" applyBorder="1" applyAlignment="1">
      <alignment horizontal="center" vertical="top"/>
    </xf>
    <xf numFmtId="0" fontId="5" fillId="0" borderId="6" xfId="0" applyFont="1" applyBorder="1" applyAlignment="1">
      <alignment horizontal="right" vertical="top"/>
    </xf>
    <xf numFmtId="41" fontId="5" fillId="0" borderId="6" xfId="0" applyNumberFormat="1" applyFont="1" applyBorder="1" applyAlignment="1">
      <alignment horizontal="center" vertical="top" wrapText="1"/>
    </xf>
    <xf numFmtId="41" fontId="4" fillId="9" borderId="6" xfId="0" applyNumberFormat="1" applyFont="1" applyFill="1" applyBorder="1" applyAlignment="1">
      <alignment horizontal="center" vertical="top"/>
    </xf>
    <xf numFmtId="0" fontId="5" fillId="2" borderId="6" xfId="0" applyFont="1" applyFill="1" applyBorder="1" applyAlignment="1">
      <alignment horizontal="center" vertical="top"/>
    </xf>
    <xf numFmtId="14" fontId="12" fillId="0" borderId="6" xfId="4" applyNumberFormat="1" applyBorder="1" applyAlignment="1">
      <alignment horizontal="center" vertical="top"/>
    </xf>
    <xf numFmtId="14" fontId="5" fillId="0" borderId="6" xfId="0" applyNumberFormat="1" applyFont="1" applyBorder="1" applyAlignment="1">
      <alignment horizontal="center" vertical="top" wrapText="1"/>
    </xf>
    <xf numFmtId="41" fontId="5" fillId="9" borderId="6" xfId="0" quotePrefix="1" applyNumberFormat="1" applyFont="1" applyFill="1" applyBorder="1" applyAlignment="1">
      <alignment horizontal="center" vertical="top"/>
    </xf>
    <xf numFmtId="166" fontId="5" fillId="0" borderId="0" xfId="0" applyNumberFormat="1" applyFont="1" applyAlignment="1">
      <alignment vertical="top"/>
    </xf>
    <xf numFmtId="44" fontId="5" fillId="0" borderId="0" xfId="5" applyFont="1" applyAlignment="1">
      <alignment vertical="top"/>
    </xf>
    <xf numFmtId="0" fontId="4" fillId="0" borderId="6" xfId="0" applyFont="1" applyBorder="1" applyAlignment="1">
      <alignment horizontal="left" vertical="top" wrapText="1"/>
    </xf>
    <xf numFmtId="3" fontId="5" fillId="0" borderId="6" xfId="0" applyNumberFormat="1" applyFont="1" applyBorder="1" applyAlignment="1">
      <alignment horizontal="right" vertical="top"/>
    </xf>
    <xf numFmtId="0" fontId="9" fillId="0" borderId="6" xfId="0" applyFont="1" applyBorder="1" applyAlignment="1">
      <alignment horizontal="left" vertical="top"/>
    </xf>
    <xf numFmtId="0" fontId="2" fillId="0" borderId="6" xfId="0" applyFont="1" applyBorder="1" applyAlignment="1">
      <alignment horizontal="center" vertical="top" wrapText="1"/>
    </xf>
    <xf numFmtId="14" fontId="2" fillId="0" borderId="6" xfId="0" applyNumberFormat="1" applyFont="1" applyBorder="1" applyAlignment="1">
      <alignment horizontal="center" vertical="top" wrapText="1"/>
    </xf>
    <xf numFmtId="41" fontId="2" fillId="0" borderId="6" xfId="0" applyNumberFormat="1" applyFont="1" applyBorder="1" applyAlignment="1">
      <alignment horizontal="center" vertical="top" wrapText="1"/>
    </xf>
    <xf numFmtId="5" fontId="2" fillId="0" borderId="6" xfId="0" applyNumberFormat="1" applyFont="1" applyBorder="1" applyAlignment="1">
      <alignment horizontal="center" vertical="top" wrapText="1"/>
    </xf>
    <xf numFmtId="0" fontId="2" fillId="0" borderId="6" xfId="0" applyFont="1" applyBorder="1" applyAlignment="1">
      <alignment horizontal="left" vertical="top" wrapText="1"/>
    </xf>
    <xf numFmtId="41" fontId="6" fillId="0" borderId="6" xfId="0" applyNumberFormat="1" applyFont="1" applyBorder="1" applyAlignment="1">
      <alignment horizontal="center" vertical="top" wrapText="1"/>
    </xf>
    <xf numFmtId="41" fontId="3" fillId="0" borderId="6" xfId="0" applyNumberFormat="1" applyFont="1" applyBorder="1" applyAlignment="1">
      <alignment horizontal="center" vertical="top" wrapText="1"/>
    </xf>
    <xf numFmtId="0" fontId="0" fillId="0" borderId="1" xfId="0" applyBorder="1" applyAlignment="1">
      <alignment vertical="top" wrapText="1"/>
    </xf>
    <xf numFmtId="0" fontId="0" fillId="0" borderId="0" xfId="0" applyAlignment="1">
      <alignment vertical="top" wrapText="1"/>
    </xf>
    <xf numFmtId="41" fontId="5" fillId="0" borderId="7" xfId="0" applyNumberFormat="1" applyFont="1" applyBorder="1" applyAlignment="1">
      <alignment horizontal="center" vertical="top"/>
    </xf>
    <xf numFmtId="0" fontId="5" fillId="0" borderId="7" xfId="0" applyFont="1" applyBorder="1" applyAlignment="1">
      <alignment horizontal="center" vertical="top" wrapText="1"/>
    </xf>
    <xf numFmtId="14" fontId="5" fillId="0" borderId="7" xfId="0" applyNumberFormat="1" applyFont="1" applyBorder="1" applyAlignment="1">
      <alignment horizontal="center" vertical="top" wrapText="1"/>
    </xf>
    <xf numFmtId="164" fontId="5" fillId="0" borderId="7" xfId="0" applyNumberFormat="1" applyFont="1" applyBorder="1" applyAlignment="1">
      <alignment horizontal="left" vertical="top" wrapText="1"/>
    </xf>
    <xf numFmtId="14" fontId="5" fillId="0" borderId="5" xfId="0" applyNumberFormat="1" applyFont="1" applyBorder="1" applyAlignment="1">
      <alignment horizontal="center" vertical="top" wrapText="1"/>
    </xf>
    <xf numFmtId="14" fontId="12" fillId="0" borderId="5" xfId="4" applyNumberFormat="1" applyBorder="1" applyAlignment="1">
      <alignment horizontal="center" vertical="top"/>
    </xf>
    <xf numFmtId="41" fontId="5" fillId="0" borderId="5" xfId="0" applyNumberFormat="1" applyFont="1" applyBorder="1" applyAlignment="1">
      <alignment vertical="top"/>
    </xf>
    <xf numFmtId="5" fontId="5" fillId="0" borderId="6" xfId="0" applyNumberFormat="1" applyFont="1" applyBorder="1" applyAlignment="1">
      <alignment horizontal="center" vertical="top"/>
    </xf>
    <xf numFmtId="0" fontId="5" fillId="0" borderId="6" xfId="0" applyFont="1" applyBorder="1" applyAlignment="1">
      <alignment horizontal="left" vertical="top" wrapText="1"/>
    </xf>
    <xf numFmtId="41" fontId="5" fillId="0" borderId="6" xfId="0" applyNumberFormat="1" applyFont="1" applyBorder="1" applyAlignment="1">
      <alignment vertical="top"/>
    </xf>
    <xf numFmtId="167" fontId="4" fillId="9" borderId="6" xfId="0" applyNumberFormat="1" applyFont="1" applyFill="1" applyBorder="1" applyAlignment="1">
      <alignment horizontal="center" vertical="top"/>
    </xf>
    <xf numFmtId="41" fontId="13" fillId="0" borderId="6" xfId="0" applyNumberFormat="1" applyFont="1" applyBorder="1" applyAlignment="1">
      <alignment horizontal="left" vertical="top" wrapText="1"/>
    </xf>
    <xf numFmtId="41" fontId="5" fillId="7" borderId="6" xfId="0" applyNumberFormat="1" applyFont="1" applyFill="1" applyBorder="1" applyAlignment="1">
      <alignment horizontal="center" vertical="top" wrapText="1"/>
    </xf>
    <xf numFmtId="0" fontId="5" fillId="0" borderId="0" xfId="0" applyFont="1" applyAlignment="1">
      <alignment vertical="top" wrapText="1"/>
    </xf>
    <xf numFmtId="14" fontId="12" fillId="0" borderId="6" xfId="4" applyNumberFormat="1" applyFill="1" applyBorder="1" applyAlignment="1">
      <alignment horizontal="center" vertical="top"/>
    </xf>
    <xf numFmtId="164" fontId="13" fillId="0" borderId="6" xfId="0" applyNumberFormat="1" applyFont="1" applyBorder="1" applyAlignment="1">
      <alignment horizontal="left" vertical="top" wrapText="1"/>
    </xf>
    <xf numFmtId="14" fontId="10" fillId="0" borderId="6" xfId="2" applyNumberFormat="1" applyFill="1" applyBorder="1" applyAlignment="1">
      <alignment horizontal="center" vertical="top"/>
    </xf>
    <xf numFmtId="14" fontId="0" fillId="0" borderId="6" xfId="0" applyNumberFormat="1" applyBorder="1" applyAlignment="1">
      <alignment horizontal="center" vertical="top"/>
    </xf>
    <xf numFmtId="0" fontId="12" fillId="0" borderId="6" xfId="4" applyFill="1" applyBorder="1" applyAlignment="1">
      <alignment horizontal="center" vertical="top"/>
    </xf>
    <xf numFmtId="164" fontId="5" fillId="0" borderId="1" xfId="0" applyNumberFormat="1" applyFont="1" applyBorder="1" applyAlignment="1">
      <alignment horizontal="left" vertical="top" wrapText="1"/>
    </xf>
    <xf numFmtId="41" fontId="5" fillId="9" borderId="1" xfId="0" applyNumberFormat="1" applyFont="1" applyFill="1" applyBorder="1" applyAlignment="1">
      <alignment horizontal="center" vertical="top"/>
    </xf>
    <xf numFmtId="41" fontId="4" fillId="6" borderId="1" xfId="0" applyNumberFormat="1" applyFont="1" applyFill="1" applyBorder="1" applyAlignment="1">
      <alignment horizontal="center" vertical="top"/>
    </xf>
    <xf numFmtId="0" fontId="5" fillId="0" borderId="1" xfId="7" applyFont="1" applyAlignment="1">
      <alignment horizontal="center" vertical="top"/>
    </xf>
    <xf numFmtId="0" fontId="5" fillId="0" borderId="1" xfId="7" applyFont="1"/>
    <xf numFmtId="14" fontId="5" fillId="0" borderId="1" xfId="7" applyNumberFormat="1" applyFont="1" applyAlignment="1">
      <alignment horizontal="center" vertical="top"/>
    </xf>
    <xf numFmtId="41" fontId="5" fillId="0" borderId="1" xfId="7" applyNumberFormat="1" applyFont="1" applyAlignment="1">
      <alignment horizontal="center" vertical="top"/>
    </xf>
    <xf numFmtId="0" fontId="5" fillId="0" borderId="1" xfId="7" applyFont="1" applyAlignment="1">
      <alignment horizontal="right" vertical="top" wrapText="1"/>
    </xf>
    <xf numFmtId="5" fontId="5" fillId="0" borderId="1" xfId="7" applyNumberFormat="1" applyFont="1" applyAlignment="1">
      <alignment horizontal="center" vertical="top" wrapText="1"/>
    </xf>
    <xf numFmtId="164" fontId="13" fillId="0" borderId="1" xfId="7" applyNumberFormat="1" applyFont="1" applyAlignment="1">
      <alignment horizontal="left" vertical="top" wrapText="1"/>
    </xf>
    <xf numFmtId="41" fontId="5" fillId="7" borderId="1" xfId="7" applyNumberFormat="1" applyFont="1" applyFill="1" applyAlignment="1">
      <alignment horizontal="center" vertical="top"/>
    </xf>
    <xf numFmtId="41" fontId="4" fillId="9" borderId="1" xfId="7" applyNumberFormat="1" applyFont="1" applyFill="1" applyAlignment="1">
      <alignment horizontal="center" vertical="top"/>
    </xf>
    <xf numFmtId="41" fontId="5" fillId="9" borderId="1" xfId="7" applyNumberFormat="1" applyFont="1" applyFill="1" applyAlignment="1">
      <alignment horizontal="center" vertical="top"/>
    </xf>
    <xf numFmtId="0" fontId="5" fillId="0" borderId="6" xfId="0" applyFont="1" applyBorder="1" applyAlignment="1">
      <alignment horizontal="left" vertical="top"/>
    </xf>
    <xf numFmtId="0" fontId="5" fillId="0" borderId="1" xfId="7" applyFont="1" applyAlignment="1">
      <alignment vertical="top" wrapText="1"/>
    </xf>
    <xf numFmtId="0" fontId="5" fillId="0" borderId="1" xfId="7" applyFont="1" applyAlignment="1">
      <alignment vertical="top"/>
    </xf>
    <xf numFmtId="0" fontId="5" fillId="0" borderId="1" xfId="7" applyFont="1" applyAlignment="1">
      <alignment horizontal="center" vertical="top" wrapText="1"/>
    </xf>
    <xf numFmtId="41" fontId="1" fillId="3" borderId="2" xfId="0" applyNumberFormat="1" applyFont="1" applyFill="1" applyBorder="1" applyAlignment="1">
      <alignment horizontal="centerContinuous"/>
    </xf>
    <xf numFmtId="37" fontId="5" fillId="0" borderId="6" xfId="0" applyNumberFormat="1" applyFont="1" applyBorder="1" applyAlignment="1">
      <alignment horizontal="center" vertical="top" wrapText="1"/>
    </xf>
    <xf numFmtId="0" fontId="5" fillId="0" borderId="6" xfId="0" applyFont="1" applyBorder="1" applyAlignment="1">
      <alignment horizontal="left" vertical="center" wrapText="1"/>
    </xf>
    <xf numFmtId="0" fontId="5" fillId="11" borderId="0" xfId="0" applyFont="1" applyFill="1"/>
    <xf numFmtId="14" fontId="5" fillId="0" borderId="1" xfId="0" applyNumberFormat="1" applyFont="1" applyBorder="1" applyAlignment="1">
      <alignment horizontal="center" vertical="top" wrapText="1"/>
    </xf>
    <xf numFmtId="41" fontId="5" fillId="0" borderId="1" xfId="0" applyNumberFormat="1" applyFont="1" applyBorder="1" applyAlignment="1">
      <alignment vertical="top"/>
    </xf>
    <xf numFmtId="41" fontId="3" fillId="0" borderId="1" xfId="0" applyNumberFormat="1" applyFont="1" applyBorder="1" applyAlignment="1">
      <alignment horizontal="center" wrapText="1"/>
    </xf>
    <xf numFmtId="14" fontId="12" fillId="0" borderId="7" xfId="4" applyNumberFormat="1" applyFill="1" applyBorder="1" applyAlignment="1">
      <alignment horizontal="center" vertical="top"/>
    </xf>
    <xf numFmtId="14" fontId="12" fillId="0" borderId="5" xfId="4" applyNumberFormat="1" applyFill="1" applyBorder="1" applyAlignment="1">
      <alignment horizontal="center" vertical="top"/>
    </xf>
    <xf numFmtId="14" fontId="12" fillId="0" borderId="1" xfId="4" applyNumberFormat="1" applyFill="1" applyBorder="1" applyAlignment="1">
      <alignment horizontal="center" vertical="top"/>
    </xf>
    <xf numFmtId="41" fontId="16" fillId="0" borderId="1" xfId="0" applyNumberFormat="1" applyFont="1" applyBorder="1" applyAlignment="1">
      <alignment horizontal="center" wrapText="1"/>
    </xf>
    <xf numFmtId="0" fontId="0" fillId="0" borderId="6" xfId="0" applyBorder="1" applyAlignment="1">
      <alignment vertical="top" wrapText="1"/>
    </xf>
    <xf numFmtId="0" fontId="9" fillId="0" borderId="6" xfId="0" applyFont="1" applyBorder="1" applyAlignment="1">
      <alignment horizontal="left"/>
    </xf>
    <xf numFmtId="0" fontId="2" fillId="0" borderId="6" xfId="0" applyFont="1" applyBorder="1" applyAlignment="1">
      <alignment horizontal="center" wrapText="1"/>
    </xf>
    <xf numFmtId="0" fontId="5" fillId="0" borderId="6" xfId="0" applyFont="1" applyBorder="1" applyAlignment="1">
      <alignment horizontal="center"/>
    </xf>
    <xf numFmtId="14" fontId="5" fillId="0" borderId="6" xfId="0" applyNumberFormat="1" applyFont="1" applyBorder="1" applyAlignment="1">
      <alignment horizontal="center"/>
    </xf>
    <xf numFmtId="41" fontId="2" fillId="0" borderId="6" xfId="0" applyNumberFormat="1" applyFont="1" applyBorder="1" applyAlignment="1">
      <alignment horizontal="center" wrapText="1"/>
    </xf>
    <xf numFmtId="14" fontId="2" fillId="0" borderId="6" xfId="0" applyNumberFormat="1" applyFont="1" applyBorder="1" applyAlignment="1">
      <alignment horizontal="center" wrapText="1"/>
    </xf>
    <xf numFmtId="5" fontId="2" fillId="0" borderId="6" xfId="0" applyNumberFormat="1" applyFont="1" applyBorder="1" applyAlignment="1">
      <alignment horizontal="center" wrapText="1"/>
    </xf>
    <xf numFmtId="0" fontId="2" fillId="0" borderId="6" xfId="0" applyFont="1" applyBorder="1" applyAlignment="1">
      <alignment horizontal="left" wrapText="1"/>
    </xf>
    <xf numFmtId="41" fontId="6" fillId="0" borderId="6" xfId="0" applyNumberFormat="1" applyFont="1" applyBorder="1" applyAlignment="1">
      <alignment horizontal="center" wrapText="1"/>
    </xf>
    <xf numFmtId="41" fontId="3" fillId="0" borderId="6" xfId="0" applyNumberFormat="1" applyFont="1" applyBorder="1" applyAlignment="1">
      <alignment horizontal="center" wrapText="1"/>
    </xf>
    <xf numFmtId="0" fontId="5" fillId="0" borderId="0" xfId="0" applyFont="1"/>
    <xf numFmtId="14" fontId="10" fillId="0" borderId="1" xfId="4" applyNumberFormat="1" applyFont="1" applyFill="1" applyBorder="1" applyAlignment="1">
      <alignment horizontal="center" vertical="top"/>
    </xf>
    <xf numFmtId="41" fontId="5" fillId="0" borderId="5" xfId="0" applyNumberFormat="1" applyFont="1" applyBorder="1" applyAlignment="1">
      <alignment horizontal="center" vertical="top"/>
    </xf>
    <xf numFmtId="14" fontId="12" fillId="0" borderId="1" xfId="4" applyNumberFormat="1" applyBorder="1" applyAlignment="1">
      <alignment horizontal="center" vertical="top"/>
    </xf>
    <xf numFmtId="41" fontId="5" fillId="12" borderId="6" xfId="0" applyNumberFormat="1" applyFont="1" applyFill="1" applyBorder="1" applyAlignment="1">
      <alignment horizontal="center" vertical="top"/>
    </xf>
    <xf numFmtId="41" fontId="5" fillId="9" borderId="5" xfId="0" quotePrefix="1" applyNumberFormat="1" applyFont="1" applyFill="1" applyBorder="1" applyAlignment="1">
      <alignment vertical="top"/>
    </xf>
    <xf numFmtId="41" fontId="5" fillId="9" borderId="5" xfId="0" applyNumberFormat="1" applyFont="1" applyFill="1" applyBorder="1" applyAlignment="1">
      <alignment vertical="top"/>
    </xf>
    <xf numFmtId="5" fontId="5" fillId="0" borderId="5" xfId="0" applyNumberFormat="1" applyFont="1" applyBorder="1" applyAlignment="1">
      <alignment horizontal="center" vertical="top" wrapText="1"/>
    </xf>
    <xf numFmtId="41" fontId="5" fillId="7" borderId="6" xfId="0" applyNumberFormat="1" applyFont="1" applyFill="1" applyBorder="1" applyAlignment="1">
      <alignment vertical="top"/>
    </xf>
    <xf numFmtId="0" fontId="5" fillId="0" borderId="5" xfId="0" applyFont="1" applyBorder="1" applyAlignment="1">
      <alignment vertical="top"/>
    </xf>
    <xf numFmtId="0" fontId="5" fillId="11" borderId="6" xfId="0" applyFont="1" applyFill="1" applyBorder="1" applyAlignment="1">
      <alignment horizontal="center" vertical="top"/>
    </xf>
    <xf numFmtId="165" fontId="0" fillId="0" borderId="0" xfId="0" applyNumberFormat="1"/>
    <xf numFmtId="0" fontId="5" fillId="11" borderId="6" xfId="0" applyFont="1" applyFill="1" applyBorder="1" applyAlignment="1">
      <alignment horizontal="center" vertical="top" wrapText="1"/>
    </xf>
    <xf numFmtId="0" fontId="5" fillId="11" borderId="6" xfId="0" applyFont="1" applyFill="1" applyBorder="1" applyAlignment="1">
      <alignment vertical="top" wrapText="1"/>
    </xf>
    <xf numFmtId="0" fontId="5" fillId="11" borderId="6" xfId="0" applyFont="1" applyFill="1" applyBorder="1" applyAlignment="1">
      <alignment vertical="top"/>
    </xf>
    <xf numFmtId="14" fontId="10" fillId="0" borderId="6" xfId="4" applyNumberFormat="1" applyFont="1" applyBorder="1" applyAlignment="1">
      <alignment horizontal="center" vertical="top"/>
    </xf>
    <xf numFmtId="165" fontId="19" fillId="0" borderId="0" xfId="0" applyNumberFormat="1" applyFont="1"/>
    <xf numFmtId="2" fontId="6" fillId="0" borderId="6" xfId="8" applyNumberFormat="1" applyFont="1" applyFill="1" applyBorder="1" applyAlignment="1">
      <alignment horizontal="center" vertical="top" wrapText="1"/>
    </xf>
    <xf numFmtId="14" fontId="10" fillId="0" borderId="1" xfId="4" applyNumberFormat="1" applyFont="1" applyBorder="1" applyAlignment="1">
      <alignment horizontal="center" vertical="top"/>
    </xf>
    <xf numFmtId="164" fontId="13" fillId="0" borderId="1" xfId="0" applyNumberFormat="1" applyFont="1" applyBorder="1" applyAlignment="1">
      <alignment horizontal="left" vertical="top" wrapText="1"/>
    </xf>
    <xf numFmtId="0" fontId="5" fillId="0" borderId="5" xfId="0" applyFont="1" applyBorder="1" applyAlignment="1">
      <alignment horizontal="left" vertical="top" wrapText="1"/>
    </xf>
    <xf numFmtId="41" fontId="17" fillId="0" borderId="6" xfId="0" applyNumberFormat="1" applyFont="1" applyBorder="1" applyAlignment="1">
      <alignment horizontal="center" wrapText="1"/>
    </xf>
    <xf numFmtId="41" fontId="17" fillId="0" borderId="6" xfId="0" applyNumberFormat="1" applyFont="1" applyBorder="1" applyAlignment="1">
      <alignment horizontal="center" vertical="top" wrapText="1"/>
    </xf>
    <xf numFmtId="41" fontId="5" fillId="0" borderId="1" xfId="0" applyNumberFormat="1" applyFont="1" applyBorder="1" applyAlignment="1">
      <alignment horizontal="center" vertical="top" wrapText="1"/>
    </xf>
    <xf numFmtId="41" fontId="4" fillId="6" borderId="5" xfId="0" applyNumberFormat="1" applyFont="1" applyFill="1" applyBorder="1" applyAlignment="1">
      <alignment horizontal="center" vertical="top"/>
    </xf>
    <xf numFmtId="41" fontId="4" fillId="6" borderId="6" xfId="0" applyNumberFormat="1" applyFont="1" applyFill="1" applyBorder="1" applyAlignment="1">
      <alignment horizontal="center" vertical="top"/>
    </xf>
    <xf numFmtId="41" fontId="5" fillId="9" borderId="5" xfId="0" applyNumberFormat="1" applyFont="1" applyFill="1" applyBorder="1" applyAlignment="1">
      <alignment horizontal="center" vertical="top"/>
    </xf>
    <xf numFmtId="41" fontId="5" fillId="9" borderId="6" xfId="0" applyNumberFormat="1" applyFont="1" applyFill="1" applyBorder="1" applyAlignment="1">
      <alignment horizontal="center" vertical="top"/>
    </xf>
    <xf numFmtId="41" fontId="4" fillId="4" borderId="5" xfId="0" applyNumberFormat="1" applyFont="1" applyFill="1" applyBorder="1" applyAlignment="1">
      <alignment horizontal="center" vertical="top"/>
    </xf>
    <xf numFmtId="41" fontId="4" fillId="4" borderId="6" xfId="0" applyNumberFormat="1" applyFont="1" applyFill="1" applyBorder="1" applyAlignment="1">
      <alignment horizontal="center" vertical="top"/>
    </xf>
    <xf numFmtId="41" fontId="5" fillId="7" borderId="5" xfId="0" applyNumberFormat="1" applyFont="1" applyFill="1" applyBorder="1" applyAlignment="1">
      <alignment vertical="top"/>
    </xf>
    <xf numFmtId="41" fontId="5" fillId="7" borderId="6" xfId="0" applyNumberFormat="1" applyFont="1" applyFill="1" applyBorder="1" applyAlignment="1">
      <alignment vertical="top"/>
    </xf>
    <xf numFmtId="41" fontId="5" fillId="9" borderId="1" xfId="0" quotePrefix="1" applyNumberFormat="1" applyFont="1" applyFill="1" applyBorder="1" applyAlignment="1">
      <alignment vertical="top"/>
    </xf>
    <xf numFmtId="41" fontId="5" fillId="9" borderId="5" xfId="0" quotePrefix="1" applyNumberFormat="1" applyFont="1" applyFill="1" applyBorder="1" applyAlignment="1">
      <alignment vertical="top"/>
    </xf>
    <xf numFmtId="41" fontId="5" fillId="9" borderId="1" xfId="0" applyNumberFormat="1" applyFont="1" applyFill="1" applyBorder="1" applyAlignment="1">
      <alignment vertical="top"/>
    </xf>
    <xf numFmtId="41" fontId="5" fillId="9" borderId="5" xfId="0" applyNumberFormat="1" applyFont="1" applyFill="1" applyBorder="1" applyAlignment="1">
      <alignment vertical="top"/>
    </xf>
    <xf numFmtId="41" fontId="5" fillId="9" borderId="1" xfId="0" applyNumberFormat="1" applyFont="1" applyFill="1" applyBorder="1" applyAlignment="1">
      <alignment horizontal="center" vertical="top"/>
    </xf>
    <xf numFmtId="0" fontId="5" fillId="0" borderId="6" xfId="0" applyFont="1" applyBorder="1" applyAlignment="1">
      <alignment horizontal="left" vertical="top" wrapText="1"/>
    </xf>
    <xf numFmtId="41" fontId="4" fillId="6" borderId="1" xfId="0" applyNumberFormat="1" applyFont="1" applyFill="1" applyBorder="1" applyAlignment="1">
      <alignment horizontal="center" vertical="top"/>
    </xf>
    <xf numFmtId="41" fontId="4" fillId="6" borderId="7" xfId="0" applyNumberFormat="1" applyFont="1" applyFill="1" applyBorder="1" applyAlignment="1">
      <alignment horizontal="center" vertical="top"/>
    </xf>
    <xf numFmtId="41" fontId="5" fillId="7" borderId="1" xfId="0" applyNumberFormat="1" applyFont="1" applyFill="1" applyBorder="1" applyAlignment="1">
      <alignment vertical="top"/>
    </xf>
    <xf numFmtId="41" fontId="4" fillId="4" borderId="1" xfId="0" applyNumberFormat="1" applyFont="1" applyFill="1" applyBorder="1" applyAlignment="1">
      <alignment horizontal="center" vertical="top"/>
    </xf>
    <xf numFmtId="41" fontId="5" fillId="3" borderId="5" xfId="0" applyNumberFormat="1" applyFont="1" applyFill="1" applyBorder="1" applyAlignment="1">
      <alignment horizontal="center" vertical="top"/>
    </xf>
    <xf numFmtId="41" fontId="5" fillId="3" borderId="6" xfId="0" applyNumberFormat="1" applyFont="1" applyFill="1" applyBorder="1" applyAlignment="1">
      <alignment horizontal="center" vertical="top"/>
    </xf>
    <xf numFmtId="41" fontId="5" fillId="0" borderId="1" xfId="0" applyNumberFormat="1" applyFont="1" applyBorder="1" applyAlignment="1">
      <alignment horizontal="center" vertical="top"/>
    </xf>
    <xf numFmtId="41" fontId="5" fillId="0" borderId="5" xfId="0" applyNumberFormat="1" applyFont="1" applyBorder="1" applyAlignment="1">
      <alignment horizontal="center" vertical="top"/>
    </xf>
    <xf numFmtId="0" fontId="5" fillId="0" borderId="7" xfId="0" applyFont="1" applyBorder="1" applyAlignment="1">
      <alignment horizontal="left" vertical="top" wrapText="1"/>
    </xf>
    <xf numFmtId="0" fontId="5" fillId="0" borderId="1" xfId="0" applyFont="1" applyBorder="1" applyAlignment="1">
      <alignment horizontal="left" vertical="top" wrapText="1"/>
    </xf>
    <xf numFmtId="0" fontId="5" fillId="0" borderId="5" xfId="0" applyFont="1" applyBorder="1" applyAlignment="1">
      <alignment horizontal="left" vertical="top" wrapText="1"/>
    </xf>
    <xf numFmtId="0" fontId="5" fillId="0" borderId="7" xfId="0" applyFont="1" applyBorder="1" applyAlignment="1">
      <alignment horizontal="center" vertical="top" wrapText="1"/>
    </xf>
    <xf numFmtId="0" fontId="5" fillId="0" borderId="1" xfId="0" applyFont="1" applyBorder="1" applyAlignment="1">
      <alignment horizontal="center" vertical="top" wrapText="1"/>
    </xf>
    <xf numFmtId="0" fontId="5" fillId="0" borderId="5" xfId="0" applyFont="1" applyBorder="1" applyAlignment="1">
      <alignment horizontal="center" vertical="top" wrapText="1"/>
    </xf>
    <xf numFmtId="0" fontId="1" fillId="0" borderId="4" xfId="0" applyFont="1" applyBorder="1" applyAlignment="1">
      <alignment horizontal="center" wrapText="1"/>
    </xf>
    <xf numFmtId="41" fontId="1" fillId="7" borderId="2" xfId="0" applyNumberFormat="1" applyFont="1" applyFill="1" applyBorder="1" applyAlignment="1">
      <alignment horizontal="center" wrapText="1"/>
    </xf>
    <xf numFmtId="41" fontId="1" fillId="7" borderId="2" xfId="0" applyNumberFormat="1" applyFont="1" applyFill="1" applyBorder="1" applyAlignment="1">
      <alignment wrapText="1"/>
    </xf>
    <xf numFmtId="0" fontId="1" fillId="7" borderId="2" xfId="0" applyFont="1" applyFill="1" applyBorder="1" applyAlignment="1">
      <alignment wrapText="1"/>
    </xf>
    <xf numFmtId="41" fontId="1" fillId="4" borderId="2" xfId="0" applyNumberFormat="1" applyFont="1" applyFill="1" applyBorder="1" applyAlignment="1">
      <alignment horizontal="center" wrapText="1"/>
    </xf>
    <xf numFmtId="41" fontId="0" fillId="4" borderId="2" xfId="0" applyNumberFormat="1" applyFill="1" applyBorder="1" applyAlignment="1">
      <alignment wrapText="1"/>
    </xf>
    <xf numFmtId="0" fontId="0" fillId="4" borderId="2" xfId="0" applyFill="1" applyBorder="1" applyAlignment="1">
      <alignment wrapText="1"/>
    </xf>
    <xf numFmtId="0" fontId="5" fillId="0" borderId="6" xfId="0" applyFont="1" applyBorder="1" applyAlignment="1">
      <alignment horizontal="center" vertical="top"/>
    </xf>
    <xf numFmtId="0" fontId="5" fillId="0" borderId="7" xfId="0" applyFont="1" applyBorder="1" applyAlignment="1">
      <alignment horizontal="center" vertical="top"/>
    </xf>
    <xf numFmtId="0" fontId="5" fillId="0" borderId="6" xfId="0" applyFont="1" applyBorder="1" applyAlignment="1">
      <alignment horizontal="right" vertical="top"/>
    </xf>
    <xf numFmtId="0" fontId="5" fillId="0" borderId="7" xfId="0" applyFont="1" applyBorder="1" applyAlignment="1">
      <alignment horizontal="right" vertical="top"/>
    </xf>
    <xf numFmtId="5" fontId="5" fillId="0" borderId="6" xfId="0" applyNumberFormat="1" applyFont="1" applyBorder="1" applyAlignment="1">
      <alignment horizontal="center" vertical="top" wrapText="1"/>
    </xf>
    <xf numFmtId="5" fontId="5" fillId="0" borderId="7" xfId="0" applyNumberFormat="1" applyFont="1" applyBorder="1" applyAlignment="1">
      <alignment horizontal="center" vertical="top" wrapText="1"/>
    </xf>
    <xf numFmtId="41" fontId="5" fillId="0" borderId="6" xfId="0" applyNumberFormat="1" applyFont="1" applyBorder="1" applyAlignment="1">
      <alignment horizontal="center" vertical="top"/>
    </xf>
    <xf numFmtId="41" fontId="5" fillId="0" borderId="7" xfId="0" applyNumberFormat="1" applyFont="1" applyBorder="1" applyAlignment="1">
      <alignment horizontal="center" vertical="top"/>
    </xf>
    <xf numFmtId="41" fontId="5" fillId="3" borderId="7" xfId="0" applyNumberFormat="1" applyFont="1" applyFill="1" applyBorder="1" applyAlignment="1">
      <alignment horizontal="center" vertical="top"/>
    </xf>
    <xf numFmtId="41" fontId="5" fillId="7" borderId="6" xfId="0" applyNumberFormat="1" applyFont="1" applyFill="1" applyBorder="1" applyAlignment="1">
      <alignment horizontal="center" vertical="top"/>
    </xf>
    <xf numFmtId="41" fontId="5" fillId="7" borderId="7" xfId="0" applyNumberFormat="1" applyFont="1" applyFill="1" applyBorder="1" applyAlignment="1">
      <alignment horizontal="center" vertical="top"/>
    </xf>
    <xf numFmtId="0" fontId="5" fillId="0" borderId="6" xfId="0" applyFont="1" applyBorder="1" applyAlignment="1">
      <alignment vertical="top"/>
    </xf>
    <xf numFmtId="0" fontId="5" fillId="0" borderId="6" xfId="0" applyFont="1" applyBorder="1" applyAlignment="1">
      <alignment horizontal="center" vertical="top" wrapText="1"/>
    </xf>
    <xf numFmtId="14" fontId="5" fillId="0" borderId="6" xfId="0" applyNumberFormat="1" applyFont="1" applyBorder="1" applyAlignment="1">
      <alignment horizontal="center" vertical="top"/>
    </xf>
    <xf numFmtId="14" fontId="5" fillId="0" borderId="7" xfId="0" applyNumberFormat="1" applyFont="1" applyBorder="1" applyAlignment="1">
      <alignment horizontal="center" vertical="top"/>
    </xf>
    <xf numFmtId="14" fontId="10" fillId="0" borderId="6" xfId="2" applyNumberFormat="1" applyBorder="1" applyAlignment="1">
      <alignment horizontal="center" vertical="top"/>
    </xf>
    <xf numFmtId="14" fontId="10" fillId="0" borderId="7" xfId="2" applyNumberFormat="1" applyBorder="1" applyAlignment="1">
      <alignment horizontal="center" vertical="top"/>
    </xf>
    <xf numFmtId="41" fontId="5" fillId="9" borderId="6" xfId="0" quotePrefix="1" applyNumberFormat="1" applyFont="1" applyFill="1" applyBorder="1" applyAlignment="1">
      <alignment horizontal="center" vertical="top"/>
    </xf>
    <xf numFmtId="41" fontId="5" fillId="9" borderId="7" xfId="0" quotePrefix="1" applyNumberFormat="1" applyFont="1" applyFill="1" applyBorder="1" applyAlignment="1">
      <alignment horizontal="center" vertical="top"/>
    </xf>
    <xf numFmtId="41" fontId="5" fillId="9" borderId="7" xfId="0" applyNumberFormat="1" applyFont="1" applyFill="1" applyBorder="1" applyAlignment="1">
      <alignment horizontal="center" vertical="top"/>
    </xf>
    <xf numFmtId="41" fontId="4" fillId="4" borderId="7" xfId="0" applyNumberFormat="1" applyFont="1" applyFill="1" applyBorder="1" applyAlignment="1">
      <alignment horizontal="center" vertical="top"/>
    </xf>
    <xf numFmtId="41" fontId="0" fillId="0" borderId="0" xfId="0" applyNumberFormat="1" applyAlignment="1">
      <alignment vertical="center" wrapText="1"/>
    </xf>
    <xf numFmtId="0" fontId="5" fillId="0" borderId="1" xfId="0" applyFont="1" applyBorder="1" applyAlignment="1">
      <alignment horizontal="center" vertical="top"/>
    </xf>
    <xf numFmtId="0" fontId="5" fillId="0" borderId="5" xfId="0" applyFont="1" applyBorder="1" applyAlignment="1">
      <alignment horizontal="center" vertical="top"/>
    </xf>
    <xf numFmtId="0" fontId="5" fillId="0" borderId="1" xfId="0" applyFont="1" applyBorder="1" applyAlignment="1">
      <alignment horizontal="right" vertical="top"/>
    </xf>
    <xf numFmtId="0" fontId="5" fillId="0" borderId="5" xfId="0" applyFont="1" applyBorder="1" applyAlignment="1">
      <alignment horizontal="right" vertical="top"/>
    </xf>
    <xf numFmtId="5" fontId="5" fillId="0" borderId="1" xfId="0" applyNumberFormat="1" applyFont="1" applyBorder="1" applyAlignment="1">
      <alignment horizontal="center" vertical="top" wrapText="1"/>
    </xf>
    <xf numFmtId="5" fontId="5" fillId="0" borderId="5" xfId="0" applyNumberFormat="1" applyFont="1" applyBorder="1" applyAlignment="1">
      <alignment horizontal="center" vertical="top" wrapText="1"/>
    </xf>
    <xf numFmtId="164" fontId="5" fillId="0" borderId="1" xfId="0" applyNumberFormat="1" applyFont="1" applyBorder="1" applyAlignment="1">
      <alignment horizontal="left" vertical="top" wrapText="1"/>
    </xf>
    <xf numFmtId="164" fontId="5" fillId="0" borderId="5" xfId="0" applyNumberFormat="1" applyFont="1" applyBorder="1" applyAlignment="1">
      <alignment horizontal="left" vertical="top" wrapText="1"/>
    </xf>
    <xf numFmtId="41" fontId="5" fillId="3" borderId="1" xfId="0" applyNumberFormat="1" applyFont="1" applyFill="1" applyBorder="1" applyAlignment="1">
      <alignment horizontal="center" vertical="top"/>
    </xf>
    <xf numFmtId="0" fontId="5" fillId="0" borderId="1" xfId="0" applyFont="1" applyBorder="1" applyAlignment="1">
      <alignment vertical="top"/>
    </xf>
    <xf numFmtId="0" fontId="5" fillId="0" borderId="5" xfId="0" applyFont="1" applyBorder="1" applyAlignment="1">
      <alignment vertical="top"/>
    </xf>
  </cellXfs>
  <cellStyles count="9">
    <cellStyle name="Currency" xfId="5" builtinId="4"/>
    <cellStyle name="Hyperlink" xfId="4" builtinId="8"/>
    <cellStyle name="Hyperlink 2" xfId="2" xr:uid="{00000000-0005-0000-0000-000003000000}"/>
    <cellStyle name="Hyperlink 3" xfId="1" xr:uid="{00000000-0005-0000-0000-000004000000}"/>
    <cellStyle name="Normal" xfId="0" builtinId="0"/>
    <cellStyle name="Normal 2" xfId="3" xr:uid="{00000000-0005-0000-0000-000006000000}"/>
    <cellStyle name="Normal 3" xfId="6" xr:uid="{00000000-0005-0000-0000-000007000000}"/>
    <cellStyle name="Normal 4" xfId="7" xr:uid="{00000000-0005-0000-0000-000008000000}"/>
    <cellStyle name="Percent" xfId="8" builtinId="5"/>
  </cellStyles>
  <dxfs count="0"/>
  <tableStyles count="0" defaultTableStyle="TableStyleMedium9" defaultPivotStyle="PivotStyleMedium4"/>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resolutions.hamiltontn.gov/resolutions/2015/715-15.pdf" TargetMode="External"/><Relationship Id="rId21" Type="http://schemas.openxmlformats.org/officeDocument/2006/relationships/hyperlink" Target="http://resolutions.hamiltontn.gov/resolutions/2012/1212-20.pdf" TargetMode="External"/><Relationship Id="rId42" Type="http://schemas.openxmlformats.org/officeDocument/2006/relationships/hyperlink" Target="http://www.chattanooga.gov/city-council-files/OrdinancesAndResolutions/Resolutions/Resolutions%202015/28139%20PILOT%20UTC%20Five.pdf" TargetMode="External"/><Relationship Id="rId47" Type="http://schemas.openxmlformats.org/officeDocument/2006/relationships/hyperlink" Target="http://chattanooga.gov/city-council-files/OrdinancesAndResolutions/Resolutions/Resolutions%202018/29336%20Economic%20Impact%20Plan%20ML%20King%20v2.pdf" TargetMode="External"/><Relationship Id="rId63" Type="http://schemas.openxmlformats.org/officeDocument/2006/relationships/hyperlink" Target="http://www.hamiltontn.gov/PDF/docs/SKM_C36820120312030.pdf" TargetMode="External"/><Relationship Id="rId68" Type="http://schemas.openxmlformats.org/officeDocument/2006/relationships/hyperlink" Target="http://resolutions.hamiltontn.gov/resolutions/2021/721-6.pdf" TargetMode="External"/><Relationship Id="rId84" Type="http://schemas.openxmlformats.org/officeDocument/2006/relationships/hyperlink" Target="https://resolutions.hamiltontn.gov/resolutions/2023/1223-14.pdf" TargetMode="External"/><Relationship Id="rId16" Type="http://schemas.openxmlformats.org/officeDocument/2006/relationships/hyperlink" Target="http://resolutions.hamiltontn.gov/resolutions/2008/1008-27.pdf" TargetMode="External"/><Relationship Id="rId11" Type="http://schemas.openxmlformats.org/officeDocument/2006/relationships/hyperlink" Target="http://www.chattanooga.gov/city-council-files/OrdinancesAndResolutions/Resolutions/Resolutions%202002/23253%20Downtown%20Housing%20Initiative%20.doc" TargetMode="External"/><Relationship Id="rId32" Type="http://schemas.openxmlformats.org/officeDocument/2006/relationships/hyperlink" Target="http://www.chattanooga.gov/city-council-files/OrdinancesAndResolutions/Resolutions/Resolutions%202015/28424%20PILOT%20Gestamp.pdf" TargetMode="External"/><Relationship Id="rId37" Type="http://schemas.openxmlformats.org/officeDocument/2006/relationships/hyperlink" Target="http://www.chattanooga.gov/city-council-files/OrdinancesAndResolutions/Resolutions/Resolutions%202016/28815%20PILOT-ECG%20Chestnut%20LP.pdf" TargetMode="External"/><Relationship Id="rId53" Type="http://schemas.openxmlformats.org/officeDocument/2006/relationships/hyperlink" Target="http://www.chattanooga.gov/city-council-files/OrdinancesAndResolutions/Resolutions/Resolutions%202017/29248%20PILOT%20-%20M_M%20Industries.pdf" TargetMode="External"/><Relationship Id="rId58" Type="http://schemas.openxmlformats.org/officeDocument/2006/relationships/hyperlink" Target="http://www.chattanooga.gov/city-council-files/OrdinancesAndResolutions/Resolutions/Resolutions%202019/29847%20Amend%20PILOT%20for%20Gestamp%20$48%20million.pdf" TargetMode="External"/><Relationship Id="rId74" Type="http://schemas.openxmlformats.org/officeDocument/2006/relationships/hyperlink" Target="https://chattanooga.gov/city-council-files/OrdinancesAndResolutions/Resolutions/Resolutions%202020/30577%202020-12-02%20PILOT%20Resolution%20-%20Battery%20Heights.pdf" TargetMode="External"/><Relationship Id="rId79" Type="http://schemas.openxmlformats.org/officeDocument/2006/relationships/hyperlink" Target="https://resolutions.hamiltontn.gov/resolutions/2023/1123-4.pdf" TargetMode="External"/><Relationship Id="rId5" Type="http://schemas.openxmlformats.org/officeDocument/2006/relationships/hyperlink" Target="http://www.chattanooga.gov/city-council-files/OrdinancesAndResolutions/Resolutions/Resolutions%202008/25682%20Auth%20PILOT%20Agmt%20-%20RiverCity%20Company%20-%20Movie%20Theater.pdf" TargetMode="External"/><Relationship Id="rId19" Type="http://schemas.openxmlformats.org/officeDocument/2006/relationships/hyperlink" Target="http://resolutions.hamiltontn.gov/resolutions/2014/714-31.pdf" TargetMode="External"/><Relationship Id="rId14" Type="http://schemas.openxmlformats.org/officeDocument/2006/relationships/hyperlink" Target="http://resolutions.hamiltontn.gov/resolutions/2014/614-19.pdf" TargetMode="External"/><Relationship Id="rId22" Type="http://schemas.openxmlformats.org/officeDocument/2006/relationships/hyperlink" Target="http://www.chattanooga.gov/city-council-files/OrdinancesAndResolutions/Resolutions/Resolutions%202015/28233%20PILOT%20Heritage-Maclellan.pdf" TargetMode="External"/><Relationship Id="rId27" Type="http://schemas.openxmlformats.org/officeDocument/2006/relationships/hyperlink" Target="http://resolutions.hamiltontn.gov/resolutions/2015/715-16.pdf" TargetMode="External"/><Relationship Id="rId30" Type="http://schemas.openxmlformats.org/officeDocument/2006/relationships/hyperlink" Target="http://resolutions.hamiltontn.gov/resolutions/2009/1109-52.pdf" TargetMode="External"/><Relationship Id="rId35" Type="http://schemas.openxmlformats.org/officeDocument/2006/relationships/hyperlink" Target="http://www.chattanooga.gov/city-council-files/OrdinancesAndResolutions/Resolutions/Resolutions%202016/28501%20PILOT%20Yanfeng.pdf" TargetMode="External"/><Relationship Id="rId43" Type="http://schemas.openxmlformats.org/officeDocument/2006/relationships/hyperlink" Target="http://www.chattanooga.gov/city-council-files/OrdinancesAndResolutions/Resolutions/Resolutions%202015/28336%20PILOT%20Simpson%20Organization.pdf" TargetMode="External"/><Relationship Id="rId48" Type="http://schemas.openxmlformats.org/officeDocument/2006/relationships/hyperlink" Target="http://www.chattanooga.gov/city-council-files/OrdinancesAndResolutions/Resolutions/Resolutions%202012/27143%20App%20Economic%20Impact%20Plan%20for%20Black%20Creek%20Mountain.pdf" TargetMode="External"/><Relationship Id="rId56" Type="http://schemas.openxmlformats.org/officeDocument/2006/relationships/hyperlink" Target="http://resolutions.hamiltontn.gov/resolutions/2019/119-16.pdf" TargetMode="External"/><Relationship Id="rId64" Type="http://schemas.openxmlformats.org/officeDocument/2006/relationships/hyperlink" Target="http://www.hamiltontn.gov/PDF/docs/SKM_C36820120312130.pdf" TargetMode="External"/><Relationship Id="rId69" Type="http://schemas.openxmlformats.org/officeDocument/2006/relationships/hyperlink" Target="http://resolutions.hamiltontn.gov/resolutions/2021/421-30.pdf" TargetMode="External"/><Relationship Id="rId77" Type="http://schemas.openxmlformats.org/officeDocument/2006/relationships/hyperlink" Target="http://resolutions.hamiltontn.gov/resolutions/2022/822-24.pdf" TargetMode="External"/><Relationship Id="rId8" Type="http://schemas.openxmlformats.org/officeDocument/2006/relationships/hyperlink" Target="http://www.chattanooga.gov/city-council-files/OrdinancesAndResolutions/Resolutions/Resolutions%202014/27960%20Aut%20MOU%20for%20VW%20CrossBlue%20Project.pdf" TargetMode="External"/><Relationship Id="rId51" Type="http://schemas.openxmlformats.org/officeDocument/2006/relationships/hyperlink" Target="http://resolutions.hamiltontn.gov/resolutions/2018/1018-4.pdf" TargetMode="External"/><Relationship Id="rId72" Type="http://schemas.openxmlformats.org/officeDocument/2006/relationships/hyperlink" Target="https://chattanooga.gov/city-council-files/OrdinancesAndResolutions/Resolutions/Resolutions%202021/30824%20PILOT%20PUREGraphite.pdf" TargetMode="External"/><Relationship Id="rId80" Type="http://schemas.openxmlformats.org/officeDocument/2006/relationships/hyperlink" Target="https://chattanooga.gov/city-council-files/OrdinancesAndResolutions/Resolutions/Resolutions%202023/31836%20Economic%20Impact%20Plan%20The%20Bend.pdf" TargetMode="External"/><Relationship Id="rId85" Type="http://schemas.openxmlformats.org/officeDocument/2006/relationships/printerSettings" Target="../printerSettings/printerSettings1.bin"/><Relationship Id="rId3" Type="http://schemas.openxmlformats.org/officeDocument/2006/relationships/hyperlink" Target="http://www.chattanooga.gov/city-council-files/OrdinancesAndResolutions/Resolutions/Resolutions%202014/27892%20PILOT%20Plastic%20Omnium.pdf" TargetMode="External"/><Relationship Id="rId12" Type="http://schemas.openxmlformats.org/officeDocument/2006/relationships/hyperlink" Target="http://resolutions.hamiltontn.gov/resolutions/2002/302-41A.pdf" TargetMode="External"/><Relationship Id="rId17" Type="http://schemas.openxmlformats.org/officeDocument/2006/relationships/hyperlink" Target="http://resolutions.hamiltontn.gov/resolutions/2014/1214-8.pdf" TargetMode="External"/><Relationship Id="rId25" Type="http://schemas.openxmlformats.org/officeDocument/2006/relationships/hyperlink" Target="http://www.chattanooga.gov/city-council-files/OrdinancesAndResolutions/Resolutions/Resolutions%202015/28302%20PILOT%20NEW%20Gestamp%20North%20America.pdf" TargetMode="External"/><Relationship Id="rId33" Type="http://schemas.openxmlformats.org/officeDocument/2006/relationships/hyperlink" Target="http://resolutions.hamiltontn.gov/resolutions/2015/1015-20.pdf" TargetMode="External"/><Relationship Id="rId38" Type="http://schemas.openxmlformats.org/officeDocument/2006/relationships/hyperlink" Target="http://resolutions.hamiltontn.gov/resolutions/2016/1116-3.pdf" TargetMode="External"/><Relationship Id="rId46" Type="http://schemas.openxmlformats.org/officeDocument/2006/relationships/hyperlink" Target="http://resolutions.hamiltontn.gov/resolutions/2018/318-14.pdf" TargetMode="External"/><Relationship Id="rId59" Type="http://schemas.openxmlformats.org/officeDocument/2006/relationships/hyperlink" Target="http://www.chattanooga.gov/city-council-files/OrdinancesAndResolutions/Resolutions/Resolutions%202019/30103%20TIF%20East%20Chattanooga%20-%20Tubman%20Site.pdf" TargetMode="External"/><Relationship Id="rId67" Type="http://schemas.openxmlformats.org/officeDocument/2006/relationships/hyperlink" Target="http://resolutions.hamiltontn.gov/resolutions/2021/1121-33.pdf" TargetMode="External"/><Relationship Id="rId20" Type="http://schemas.openxmlformats.org/officeDocument/2006/relationships/hyperlink" Target="http://resolutions.hamiltontn.gov/resolutions/2012/1212-21.pdf" TargetMode="External"/><Relationship Id="rId41" Type="http://schemas.openxmlformats.org/officeDocument/2006/relationships/hyperlink" Target="http://resolutions.hamiltontn.gov/resolutions/2015/215-37.pdf" TargetMode="External"/><Relationship Id="rId54" Type="http://schemas.openxmlformats.org/officeDocument/2006/relationships/hyperlink" Target="http://resolutions.hamiltontn.gov/resolutions/2017/1117-27.pdf" TargetMode="External"/><Relationship Id="rId62" Type="http://schemas.openxmlformats.org/officeDocument/2006/relationships/hyperlink" Target="http://resolutions.hamiltontn.gov/resolutions/2020/820-26.pdf" TargetMode="External"/><Relationship Id="rId70" Type="http://schemas.openxmlformats.org/officeDocument/2006/relationships/hyperlink" Target="http://resolutions.hamiltontn.gov/resolutions/2020/1220-33.pdf" TargetMode="External"/><Relationship Id="rId75" Type="http://schemas.openxmlformats.org/officeDocument/2006/relationships/hyperlink" Target="https://chattanooga.gov/city-council-files/OrdinancesAndResolutions/Resolutions/Resolutions%202022/31194%20TIF%20South%20Broad%20District.pdf" TargetMode="External"/><Relationship Id="rId83" Type="http://schemas.openxmlformats.org/officeDocument/2006/relationships/hyperlink" Target="https://chattanooga.gov/city-council-files/OrdinancesAndResolutions/Resolutions/Resolutions%202023/31883%20CNE%20PILOT.pdf" TargetMode="External"/><Relationship Id="rId1" Type="http://schemas.openxmlformats.org/officeDocument/2006/relationships/hyperlink" Target="http://www.chattanooga.gov/city-council-files/OrdinancesAndResolutions/Resolutions/Resolutions%202014/27804%20Coca-Cola%20PILOT.pdf" TargetMode="External"/><Relationship Id="rId6" Type="http://schemas.openxmlformats.org/officeDocument/2006/relationships/hyperlink" Target="http://www.chattanooga.gov/city-council-files/OrdinancesAndResolutions/Resolutions/Resolutions%202014/28072%20PILOT%20Southern%20Champion.pdf" TargetMode="External"/><Relationship Id="rId15" Type="http://schemas.openxmlformats.org/officeDocument/2006/relationships/hyperlink" Target="http://resolutions.hamiltontn.gov/resolutions/2009/309-37.pdf" TargetMode="External"/><Relationship Id="rId23" Type="http://schemas.openxmlformats.org/officeDocument/2006/relationships/hyperlink" Target="http://resolutions.hamiltontn.gov/resolutions/2015/515-28.pdf" TargetMode="External"/><Relationship Id="rId28" Type="http://schemas.openxmlformats.org/officeDocument/2006/relationships/hyperlink" Target="http://resolutions.hamiltontn.gov/resolutions/2015/715-17.pdf" TargetMode="External"/><Relationship Id="rId36" Type="http://schemas.openxmlformats.org/officeDocument/2006/relationships/hyperlink" Target="http://resolutions.hamiltontn.gov/resolutions/2016/116-27.pdf" TargetMode="External"/><Relationship Id="rId49" Type="http://schemas.openxmlformats.org/officeDocument/2006/relationships/hyperlink" Target="http://resolutions.hamiltontn.gov/resolutions/2017/1217-30.pdf" TargetMode="External"/><Relationship Id="rId57" Type="http://schemas.openxmlformats.org/officeDocument/2006/relationships/hyperlink" Target="http://resolutions.hamiltontn.gov/resolutions/2019/319-14.pdf" TargetMode="External"/><Relationship Id="rId10" Type="http://schemas.openxmlformats.org/officeDocument/2006/relationships/hyperlink" Target="http://www.chattanooga.gov/city-council-files/OrdinancesAndResolutions/Resolutions/Resolutions%202012/27336_PILOT_UTC_Two.pdf" TargetMode="External"/><Relationship Id="rId31" Type="http://schemas.openxmlformats.org/officeDocument/2006/relationships/hyperlink" Target="http://resolutions.hamiltontn.gov/resolutions/2010/710-4.pdf" TargetMode="External"/><Relationship Id="rId44" Type="http://schemas.openxmlformats.org/officeDocument/2006/relationships/hyperlink" Target="http://resolutions.hamiltontn.gov/resolutions/2015/815-19.pdf" TargetMode="External"/><Relationship Id="rId52" Type="http://schemas.openxmlformats.org/officeDocument/2006/relationships/hyperlink" Target="http://www.chattanooga.gov/city-council-files/OrdinancesAndResolutions/Resolutions/Resolutions%202018/29634%20PILOT%20-%20Ridgeway%20Apartments.pdf" TargetMode="External"/><Relationship Id="rId60" Type="http://schemas.openxmlformats.org/officeDocument/2006/relationships/hyperlink" Target="http://resolutions.hamiltontn.gov/resolutions/2019/1219-27.pdf" TargetMode="External"/><Relationship Id="rId65" Type="http://schemas.openxmlformats.org/officeDocument/2006/relationships/hyperlink" Target="http://resolutions.hamiltontn.gov/resolutions/2021/321-14.pdf" TargetMode="External"/><Relationship Id="rId73" Type="http://schemas.openxmlformats.org/officeDocument/2006/relationships/hyperlink" Target="https://chattanooga.gov/city-council-files/OrdinancesAndResolutions/Resolutions/Resolutions%202021/30660%20PILOT%20-%20The%20Reserve%20at%20Mountain%20Pass.pdf" TargetMode="External"/><Relationship Id="rId78" Type="http://schemas.openxmlformats.org/officeDocument/2006/relationships/hyperlink" Target="http://resolutions.hamiltontn.gov/resolutions/2022/722-34.pdf" TargetMode="External"/><Relationship Id="rId81" Type="http://schemas.openxmlformats.org/officeDocument/2006/relationships/hyperlink" Target="https://chattanooga.gov/city-council-files/OrdinancesAndResolutions/Resolutions/Resolutions%202005/24361%20Authorize%20BlueCross%20BlueShield%20PILOT%20Agreement.pdf" TargetMode="External"/><Relationship Id="rId4" Type="http://schemas.openxmlformats.org/officeDocument/2006/relationships/hyperlink" Target="http://www.chattanooga.gov/city-council-files/OrdinancesAndResolutions/Resolutions/Resolutions%202009/25843%20Auth%20PILOT%20Agmt%20-%20Provident.pdf" TargetMode="External"/><Relationship Id="rId9" Type="http://schemas.openxmlformats.org/officeDocument/2006/relationships/hyperlink" Target="http://www.chattanooga.gov/city-council-files/OrdinancesAndResolutions/Resolutions/Resolutions%202012/27337_PILOT_UTC_Three.pdf" TargetMode="External"/><Relationship Id="rId13" Type="http://schemas.openxmlformats.org/officeDocument/2006/relationships/hyperlink" Target="http://resolutions.hamiltontn.gov/resolutions/2014/314-25.pdf" TargetMode="External"/><Relationship Id="rId18" Type="http://schemas.openxmlformats.org/officeDocument/2006/relationships/hyperlink" Target="http://resolutions.hamiltontn.gov/resolutions/2008/1108-43.pdf" TargetMode="External"/><Relationship Id="rId39" Type="http://schemas.openxmlformats.org/officeDocument/2006/relationships/hyperlink" Target="http://resolutions.hamiltontn.gov/resolutions/2016/1216-8.pdf" TargetMode="External"/><Relationship Id="rId34" Type="http://schemas.openxmlformats.org/officeDocument/2006/relationships/hyperlink" Target="http://resolutions.hamiltontn.gov/resolutions/2015/1015-54.pdf" TargetMode="External"/><Relationship Id="rId50" Type="http://schemas.openxmlformats.org/officeDocument/2006/relationships/hyperlink" Target="http://www.chattanooga.gov/city-council-files/OrdinancesAndResolutions/Resolutions/Resolutions%202017/29215%20PILOT%20Bayberry%20Apts%20v3.pdf" TargetMode="External"/><Relationship Id="rId55" Type="http://schemas.openxmlformats.org/officeDocument/2006/relationships/hyperlink" Target="http://www.chattanooga.gov/city-council-files/OrdinancesAndResolutions/Resolutions/Resolutions%202018/29744%20PILOT%20Patten%20Towers.pdf" TargetMode="External"/><Relationship Id="rId76" Type="http://schemas.openxmlformats.org/officeDocument/2006/relationships/hyperlink" Target="https://chattanooga.gov/city-council-files/OrdinancesAndResolutions/Resolutions/Resolutions%202022/31115%202022.05.17%20TIF%20Access%20Road%20(North%20River%20Commerce%20Center)%20v2%20-%20mem.pdf" TargetMode="External"/><Relationship Id="rId7" Type="http://schemas.openxmlformats.org/officeDocument/2006/relationships/hyperlink" Target="http://www.chattanooga.gov/city-council-files/OrdinancesAndResolutions/Resolutions/Resolutions%202008/25738%20Auth%20PILOT%20Agmt%20-%20Volkswagen.pdf" TargetMode="External"/><Relationship Id="rId71" Type="http://schemas.openxmlformats.org/officeDocument/2006/relationships/hyperlink" Target="https://chattanooga.gov/city-council-files/OrdinancesAndResolutions/Resolutions/Resolutions%202021/30938%20PILOT%20-%20Steam%20Logistics.pdf" TargetMode="External"/><Relationship Id="rId2" Type="http://schemas.openxmlformats.org/officeDocument/2006/relationships/hyperlink" Target="http://www.chattanooga.gov/city-council-files/OrdinancesAndResolutions/Resolutions/Resolutions%202010/26356%20Aut%20amendment%20to%20payment%20in%20lieu%20of%20tax%20agreement%20with%20Gestamp.pdf" TargetMode="External"/><Relationship Id="rId29" Type="http://schemas.openxmlformats.org/officeDocument/2006/relationships/hyperlink" Target="http://www.chattanooga.gov/city-council-files/OrdinancesAndResolutions/Resolutions/Resolutions%202015/28256%20PILOT%20The%20KORE%20Company.pdf" TargetMode="External"/><Relationship Id="rId24" Type="http://schemas.openxmlformats.org/officeDocument/2006/relationships/hyperlink" Target="http://www.chattanooga.gov/city-council-files/OrdinancesAndResolutions/Resolutions/Resolutions%202015/28301%20PILOT%20Expansion%20Gestamp.pdf" TargetMode="External"/><Relationship Id="rId40" Type="http://schemas.openxmlformats.org/officeDocument/2006/relationships/hyperlink" Target="http://www.chattanooga.gov/city-council-files/OrdinancesAndResolutions/Resolutions/Resolutions%202016/28835%20PILOT%20Resolution%20Jaycee%20Tower%20City.pdf" TargetMode="External"/><Relationship Id="rId45" Type="http://schemas.openxmlformats.org/officeDocument/2006/relationships/hyperlink" Target="http://resolutions.hamiltontn.gov/resolutions/2012/612-27.pdf" TargetMode="External"/><Relationship Id="rId66" Type="http://schemas.openxmlformats.org/officeDocument/2006/relationships/hyperlink" Target="http://www.chattanooga.gov/city-council-files/OrdinancesAndResolutions/Resolutions/Resolutions%202021/30649%20PILOT%20-%20CNE-Mai%20Bell%202.pdf" TargetMode="External"/><Relationship Id="rId61" Type="http://schemas.openxmlformats.org/officeDocument/2006/relationships/hyperlink" Target="http://resolutions.hamiltontn.gov/resolutions/2020/320-25.pdf" TargetMode="External"/><Relationship Id="rId82" Type="http://schemas.openxmlformats.org/officeDocument/2006/relationships/hyperlink" Target="https://resolutions.hamiltontn.gov/resolutions/2005/305-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R120"/>
  <sheetViews>
    <sheetView tabSelected="1" zoomScaleNormal="100" workbookViewId="0">
      <pane xSplit="5" ySplit="3" topLeftCell="AI17" activePane="bottomRight" state="frozen"/>
      <selection activeCell="A2" sqref="A2"/>
      <selection pane="topRight" activeCell="F2" sqref="F2"/>
      <selection pane="bottomLeft" activeCell="A4" sqref="A4"/>
      <selection pane="bottomRight" activeCell="AO1" sqref="AO1:AO1048576"/>
    </sheetView>
  </sheetViews>
  <sheetFormatPr defaultColWidth="17.28515625" defaultRowHeight="15" customHeight="1" x14ac:dyDescent="0.2"/>
  <cols>
    <col min="1" max="1" width="37.140625" customWidth="1"/>
    <col min="2" max="2" width="40.140625" bestFit="1" customWidth="1"/>
    <col min="3" max="3" width="25" hidden="1" customWidth="1"/>
    <col min="4" max="4" width="13.28515625" hidden="1" customWidth="1"/>
    <col min="5" max="5" width="26.7109375" style="13" customWidth="1"/>
    <col min="6" max="6" width="10.7109375" customWidth="1"/>
    <col min="7" max="7" width="11.140625" customWidth="1"/>
    <col min="8" max="8" width="10.42578125" customWidth="1"/>
    <col min="9" max="9" width="2.140625" style="5" customWidth="1"/>
    <col min="10" max="10" width="11.140625" customWidth="1"/>
    <col min="11" max="11" width="11" customWidth="1"/>
    <col min="12" max="12" width="10.85546875" customWidth="1"/>
    <col min="13" max="13" width="1.7109375" style="5" customWidth="1"/>
    <col min="14" max="14" width="10.7109375" customWidth="1"/>
    <col min="15" max="15" width="8.42578125" customWidth="1"/>
    <col min="16" max="16" width="13.28515625" customWidth="1"/>
    <col min="17" max="17" width="12.5703125" style="25" customWidth="1"/>
    <col min="18" max="18" width="27" style="21" customWidth="1"/>
    <col min="19" max="19" width="14.5703125" style="1" customWidth="1"/>
    <col min="20" max="20" width="21" style="1" hidden="1" customWidth="1"/>
    <col min="21" max="21" width="17.42578125" style="26" customWidth="1"/>
    <col min="22" max="22" width="1.7109375" style="5" customWidth="1"/>
    <col min="23" max="23" width="13" style="1" customWidth="1"/>
    <col min="24" max="24" width="15" style="1" customWidth="1"/>
    <col min="25" max="25" width="14.85546875" style="1" customWidth="1"/>
    <col min="26" max="26" width="14.28515625" style="1" customWidth="1"/>
    <col min="27" max="27" width="3.7109375" style="5" customWidth="1"/>
    <col min="28" max="28" width="12" style="1" customWidth="1"/>
    <col min="29" max="29" width="14.7109375" style="1" customWidth="1"/>
    <col min="30" max="30" width="14.5703125" style="1" customWidth="1"/>
    <col min="31" max="31" width="13.85546875" style="1" customWidth="1"/>
    <col min="32" max="32" width="15" style="1" customWidth="1"/>
    <col min="33" max="33" width="3.7109375" style="5" customWidth="1"/>
    <col min="34" max="34" width="11.5703125" style="1" customWidth="1"/>
    <col min="35" max="35" width="11.7109375" style="1" customWidth="1"/>
    <col min="36" max="36" width="13.7109375" style="1" customWidth="1"/>
    <col min="37" max="37" width="14" style="1" customWidth="1"/>
    <col min="38" max="38" width="13" style="1" customWidth="1"/>
    <col min="40" max="40" width="0" hidden="1" customWidth="1"/>
  </cols>
  <sheetData>
    <row r="1" spans="1:40" ht="12.75" x14ac:dyDescent="0.2">
      <c r="I1" s="3"/>
      <c r="M1" s="3"/>
      <c r="V1" s="3"/>
      <c r="W1" s="164">
        <v>2.25</v>
      </c>
      <c r="X1" s="164">
        <f>1.2639+0.008</f>
        <v>1.2719</v>
      </c>
      <c r="Y1" s="164">
        <v>0.96540000000000004</v>
      </c>
      <c r="Z1" s="2"/>
      <c r="AA1" s="3"/>
      <c r="AG1" s="3"/>
    </row>
    <row r="2" spans="1:40" ht="15" customHeight="1" thickBot="1" x14ac:dyDescent="0.25">
      <c r="F2" s="200" t="s">
        <v>40</v>
      </c>
      <c r="G2" s="200"/>
      <c r="H2" s="200"/>
      <c r="I2" s="28"/>
      <c r="J2" s="200" t="s">
        <v>41</v>
      </c>
      <c r="K2" s="200"/>
      <c r="L2" s="200"/>
      <c r="M2" s="28"/>
      <c r="V2" s="4"/>
      <c r="W2" s="6" t="s">
        <v>29</v>
      </c>
      <c r="X2" s="6"/>
      <c r="Y2" s="6"/>
      <c r="Z2" s="6"/>
      <c r="AA2" s="4"/>
      <c r="AB2" s="201" t="s">
        <v>61</v>
      </c>
      <c r="AC2" s="202"/>
      <c r="AD2" s="202"/>
      <c r="AE2" s="202"/>
      <c r="AF2" s="203"/>
      <c r="AG2" s="4"/>
      <c r="AH2" s="204" t="s">
        <v>35</v>
      </c>
      <c r="AI2" s="205"/>
      <c r="AJ2" s="205"/>
      <c r="AK2" s="205"/>
      <c r="AL2" s="206"/>
    </row>
    <row r="3" spans="1:40" s="13" customFormat="1" ht="24" customHeight="1" x14ac:dyDescent="0.2">
      <c r="A3" s="7" t="s">
        <v>0</v>
      </c>
      <c r="B3" s="7" t="s">
        <v>3</v>
      </c>
      <c r="C3" s="18" t="s">
        <v>8</v>
      </c>
      <c r="D3" s="18" t="s">
        <v>9</v>
      </c>
      <c r="E3" s="7" t="s">
        <v>56</v>
      </c>
      <c r="F3" s="7" t="s">
        <v>51</v>
      </c>
      <c r="G3" s="12" t="s">
        <v>5</v>
      </c>
      <c r="H3" s="12" t="s">
        <v>65</v>
      </c>
      <c r="I3" s="8"/>
      <c r="J3" s="7" t="s">
        <v>51</v>
      </c>
      <c r="K3" s="12" t="s">
        <v>5</v>
      </c>
      <c r="L3" s="12" t="s">
        <v>65</v>
      </c>
      <c r="M3" s="8"/>
      <c r="N3" s="7" t="s">
        <v>6</v>
      </c>
      <c r="O3" s="7" t="s">
        <v>7</v>
      </c>
      <c r="P3" s="7" t="s">
        <v>1</v>
      </c>
      <c r="Q3" s="23" t="s">
        <v>2</v>
      </c>
      <c r="R3" s="7" t="s">
        <v>77</v>
      </c>
      <c r="S3" s="8" t="s">
        <v>108</v>
      </c>
      <c r="T3" s="8" t="s">
        <v>4</v>
      </c>
      <c r="U3" s="8" t="s">
        <v>28</v>
      </c>
      <c r="V3" s="8"/>
      <c r="W3" s="10" t="s">
        <v>30</v>
      </c>
      <c r="X3" s="10" t="s">
        <v>31</v>
      </c>
      <c r="Y3" s="10" t="s">
        <v>32</v>
      </c>
      <c r="Z3" s="9" t="s">
        <v>34</v>
      </c>
      <c r="AA3" s="8"/>
      <c r="AB3" s="16" t="s">
        <v>222</v>
      </c>
      <c r="AC3" s="16" t="s">
        <v>223</v>
      </c>
      <c r="AD3" s="16" t="s">
        <v>224</v>
      </c>
      <c r="AE3" s="16" t="s">
        <v>64</v>
      </c>
      <c r="AF3" s="16" t="s">
        <v>62</v>
      </c>
      <c r="AG3" s="8"/>
      <c r="AH3" s="11" t="s">
        <v>36</v>
      </c>
      <c r="AI3" s="11" t="s">
        <v>37</v>
      </c>
      <c r="AJ3" s="11" t="s">
        <v>38</v>
      </c>
      <c r="AK3" s="11" t="s">
        <v>64</v>
      </c>
      <c r="AL3" s="11" t="s">
        <v>39</v>
      </c>
    </row>
    <row r="4" spans="1:40" s="13" customFormat="1" ht="38.25" customHeight="1" x14ac:dyDescent="0.25">
      <c r="A4" s="15" t="s">
        <v>42</v>
      </c>
      <c r="B4" s="7"/>
      <c r="C4" s="7"/>
      <c r="D4" s="7"/>
      <c r="E4" s="7"/>
      <c r="F4" s="7"/>
      <c r="G4" s="12"/>
      <c r="H4" s="12"/>
      <c r="I4" s="8"/>
      <c r="J4" s="7"/>
      <c r="K4" s="12"/>
      <c r="L4" s="12"/>
      <c r="M4" s="8"/>
      <c r="N4" s="7"/>
      <c r="O4" s="7"/>
      <c r="P4" s="7"/>
      <c r="Q4" s="23"/>
      <c r="R4" s="22"/>
      <c r="S4" s="8"/>
      <c r="T4" s="8"/>
      <c r="U4" s="136"/>
      <c r="V4" s="8"/>
      <c r="W4" s="14"/>
      <c r="X4" s="14"/>
      <c r="Y4" s="14"/>
      <c r="Z4" s="8"/>
      <c r="AA4" s="8"/>
      <c r="AB4" s="14"/>
      <c r="AC4" s="14"/>
      <c r="AD4" s="14"/>
      <c r="AE4" s="132"/>
      <c r="AF4" s="8"/>
      <c r="AG4" s="8"/>
      <c r="AH4" s="27"/>
      <c r="AI4" s="8"/>
      <c r="AJ4" s="8"/>
      <c r="AK4" s="8"/>
      <c r="AL4" s="8"/>
    </row>
    <row r="5" spans="1:40" s="35" customFormat="1" ht="25.5" customHeight="1" x14ac:dyDescent="0.2">
      <c r="A5" s="51" t="s">
        <v>111</v>
      </c>
      <c r="B5" s="52" t="s">
        <v>112</v>
      </c>
      <c r="C5" s="53">
        <v>35.052216000000001</v>
      </c>
      <c r="D5" s="53">
        <v>-85.317967999999993</v>
      </c>
      <c r="E5" s="54" t="s">
        <v>113</v>
      </c>
      <c r="F5" s="53">
        <v>24361</v>
      </c>
      <c r="G5" s="55">
        <v>38433</v>
      </c>
      <c r="H5" s="166" t="s">
        <v>66</v>
      </c>
      <c r="I5" s="57"/>
      <c r="J5" s="58" t="s">
        <v>114</v>
      </c>
      <c r="K5" s="59">
        <v>38434</v>
      </c>
      <c r="L5" s="135" t="s">
        <v>66</v>
      </c>
      <c r="M5" s="57"/>
      <c r="N5" s="58">
        <v>2010</v>
      </c>
      <c r="O5" s="58">
        <v>2025</v>
      </c>
      <c r="P5" s="61"/>
      <c r="Q5" s="62"/>
      <c r="R5" s="63" t="s">
        <v>10</v>
      </c>
      <c r="S5" s="64"/>
      <c r="T5" s="64"/>
      <c r="U5" s="171">
        <f>38892440+54161160+429960+9857609</f>
        <v>103341169</v>
      </c>
      <c r="V5" s="57"/>
      <c r="W5" s="65">
        <f t="shared" ref="W5:Y5" si="0">+$U5*W$1/100</f>
        <v>2325176.3025000002</v>
      </c>
      <c r="X5" s="65">
        <f t="shared" si="0"/>
        <v>1314396.3285109999</v>
      </c>
      <c r="Y5" s="65">
        <f t="shared" si="0"/>
        <v>997655.64552599995</v>
      </c>
      <c r="Z5" s="65">
        <f t="shared" ref="Z5" si="1">+W5+X5+Y5</f>
        <v>4637228.2765370002</v>
      </c>
      <c r="AA5" s="57"/>
      <c r="AB5" s="66">
        <f t="shared" ref="AB5:AD5" si="2">W5/2</f>
        <v>1162588.1512500001</v>
      </c>
      <c r="AC5" s="66">
        <f t="shared" si="2"/>
        <v>657198.16425549996</v>
      </c>
      <c r="AD5" s="66">
        <f t="shared" si="2"/>
        <v>498827.82276299997</v>
      </c>
      <c r="AE5" s="67"/>
      <c r="AF5" s="67">
        <f t="shared" ref="AF5" si="3">+AB5+AC5+AD5+AE5</f>
        <v>2318614.1382685001</v>
      </c>
      <c r="AG5" s="57"/>
      <c r="AH5" s="68">
        <f t="shared" ref="AH5:AJ5" si="4">+W5-AB5</f>
        <v>1162588.1512500001</v>
      </c>
      <c r="AI5" s="68">
        <f t="shared" si="4"/>
        <v>657198.16425549996</v>
      </c>
      <c r="AJ5" s="68">
        <f t="shared" si="4"/>
        <v>498827.82276299997</v>
      </c>
      <c r="AK5" s="68">
        <f t="shared" ref="AK5" si="5">-AE5</f>
        <v>0</v>
      </c>
      <c r="AL5" s="68">
        <f t="shared" ref="AL5" si="6">+Z5-AF5</f>
        <v>2318614.1382685001</v>
      </c>
    </row>
    <row r="6" spans="1:40" s="35" customFormat="1" ht="25.5" customHeight="1" x14ac:dyDescent="0.2">
      <c r="A6" s="36" t="s">
        <v>67</v>
      </c>
      <c r="B6" s="37" t="s">
        <v>11</v>
      </c>
      <c r="C6" s="38">
        <v>35.047637000000002</v>
      </c>
      <c r="D6" s="38">
        <v>-85.186363</v>
      </c>
      <c r="E6" s="39" t="s">
        <v>99</v>
      </c>
      <c r="F6" s="38">
        <v>27804</v>
      </c>
      <c r="G6" s="40">
        <v>41709</v>
      </c>
      <c r="H6" s="41" t="s">
        <v>66</v>
      </c>
      <c r="I6" s="42"/>
      <c r="J6" s="38" t="s">
        <v>60</v>
      </c>
      <c r="K6" s="40">
        <v>41717</v>
      </c>
      <c r="L6" s="106" t="s">
        <v>66</v>
      </c>
      <c r="M6" s="42"/>
      <c r="N6" s="38">
        <v>2016</v>
      </c>
      <c r="O6" s="38">
        <v>2027</v>
      </c>
      <c r="P6" s="50">
        <f>43+270</f>
        <v>313</v>
      </c>
      <c r="Q6" s="43">
        <v>45000</v>
      </c>
      <c r="R6" s="44" t="s">
        <v>153</v>
      </c>
      <c r="S6" s="42">
        <v>62000000</v>
      </c>
      <c r="T6" s="42"/>
      <c r="U6" s="42">
        <f>18862280+745255</f>
        <v>19607535</v>
      </c>
      <c r="V6" s="42"/>
      <c r="W6" s="45">
        <f>+$U6*W$1/100</f>
        <v>441169.53749999998</v>
      </c>
      <c r="X6" s="45">
        <f t="shared" ref="X6:X7" si="7">+$U6*X$1/100</f>
        <v>249388.23766499999</v>
      </c>
      <c r="Y6" s="45">
        <f>+$U6*Y$1/100</f>
        <v>189291.14289000002</v>
      </c>
      <c r="Z6" s="45">
        <f t="shared" ref="Z6:Z16" si="8">+W6+X6+Y6</f>
        <v>879848.91805500002</v>
      </c>
      <c r="AA6" s="42"/>
      <c r="AB6" s="47">
        <f>W6*0.45</f>
        <v>198526.291875</v>
      </c>
      <c r="AC6" s="47">
        <f>X6*0.45</f>
        <v>112224.70694925</v>
      </c>
      <c r="AD6" s="47">
        <f>Y6</f>
        <v>189291.14289000002</v>
      </c>
      <c r="AE6" s="47">
        <f>SUM(W6:X6)*0.05</f>
        <v>34527.888758250003</v>
      </c>
      <c r="AF6" s="47">
        <f t="shared" ref="AF6:AF16" si="9">+AB6+AC6+AD6+AE6</f>
        <v>534570.03047250002</v>
      </c>
      <c r="AG6" s="42"/>
      <c r="AH6" s="48">
        <f t="shared" ref="AH6:AJ16" si="10">+W6-AB6</f>
        <v>242643.24562499998</v>
      </c>
      <c r="AI6" s="49">
        <f t="shared" si="10"/>
        <v>137163.53071575001</v>
      </c>
      <c r="AJ6" s="49">
        <f t="shared" si="10"/>
        <v>0</v>
      </c>
      <c r="AK6" s="49">
        <f t="shared" ref="AK6:AK16" si="11">-AE6</f>
        <v>-34527.888758250003</v>
      </c>
      <c r="AL6" s="49">
        <f t="shared" ref="AL6:AL16" si="12">+Z6-AF6</f>
        <v>345278.8875825</v>
      </c>
    </row>
    <row r="7" spans="1:40" s="35" customFormat="1" ht="25.5" customHeight="1" x14ac:dyDescent="0.2">
      <c r="A7" s="36" t="s">
        <v>71</v>
      </c>
      <c r="B7" s="37"/>
      <c r="C7" s="38"/>
      <c r="D7" s="38"/>
      <c r="E7" s="39" t="s">
        <v>148</v>
      </c>
      <c r="F7" s="38">
        <v>28302</v>
      </c>
      <c r="G7" s="40">
        <v>42185</v>
      </c>
      <c r="H7" s="73" t="s">
        <v>66</v>
      </c>
      <c r="I7" s="42"/>
      <c r="J7" s="39" t="s">
        <v>82</v>
      </c>
      <c r="K7" s="74">
        <v>42186</v>
      </c>
      <c r="L7" s="104" t="s">
        <v>66</v>
      </c>
      <c r="M7" s="42"/>
      <c r="N7" s="38">
        <v>2017</v>
      </c>
      <c r="O7" s="38">
        <v>2026</v>
      </c>
      <c r="P7" s="69">
        <v>136</v>
      </c>
      <c r="Q7" s="43"/>
      <c r="R7" s="44"/>
      <c r="S7" s="42">
        <v>39100000</v>
      </c>
      <c r="T7" s="42"/>
      <c r="U7" s="42">
        <f>18235720+7230155</f>
        <v>25465875</v>
      </c>
      <c r="V7" s="42"/>
      <c r="W7" s="45">
        <f>+$U7*W$1/100</f>
        <v>572982.1875</v>
      </c>
      <c r="X7" s="45">
        <f t="shared" si="7"/>
        <v>323900.464125</v>
      </c>
      <c r="Y7" s="45">
        <f>+$U7*Y$1/100</f>
        <v>245847.55725000001</v>
      </c>
      <c r="Z7" s="45">
        <f t="shared" ref="Z7" si="13">+W7+X7+Y7</f>
        <v>1142730.208875</v>
      </c>
      <c r="AA7" s="42"/>
      <c r="AB7" s="46">
        <f>W7*0.4</f>
        <v>229192.875</v>
      </c>
      <c r="AC7" s="75">
        <f>X7*0.5</f>
        <v>161950.2320625</v>
      </c>
      <c r="AD7" s="47">
        <f>Y7</f>
        <v>245847.55725000001</v>
      </c>
      <c r="AE7" s="47">
        <f>SUM(X7:Y7)*0.1253+SUM(W7*0.15)</f>
        <v>157336.7552032875</v>
      </c>
      <c r="AF7" s="47">
        <f>SUM(AB7:AE7)</f>
        <v>794327.41951578751</v>
      </c>
      <c r="AG7" s="42"/>
      <c r="AH7" s="48">
        <f t="shared" ref="AH7:AH8" si="14">+W7-AB7</f>
        <v>343789.3125</v>
      </c>
      <c r="AI7" s="49">
        <f t="shared" ref="AI7:AI8" si="15">+X7-AC7</f>
        <v>161950.2320625</v>
      </c>
      <c r="AJ7" s="49">
        <f t="shared" ref="AJ7:AJ8" si="16">+Y7-AD7</f>
        <v>0</v>
      </c>
      <c r="AK7" s="49">
        <f t="shared" ref="AK7:AK8" si="17">-AE7</f>
        <v>-157336.7552032875</v>
      </c>
      <c r="AL7" s="49">
        <f t="shared" si="12"/>
        <v>348402.7893592125</v>
      </c>
      <c r="AM7" s="76"/>
    </row>
    <row r="8" spans="1:40" s="35" customFormat="1" ht="25.5" customHeight="1" x14ac:dyDescent="0.2">
      <c r="A8" s="161" t="s">
        <v>211</v>
      </c>
      <c r="B8" s="162"/>
      <c r="C8" s="158"/>
      <c r="D8" s="158"/>
      <c r="E8" s="160"/>
      <c r="F8" s="38"/>
      <c r="G8" s="40"/>
      <c r="H8" s="73"/>
      <c r="I8" s="42"/>
      <c r="J8" s="39" t="s">
        <v>212</v>
      </c>
      <c r="K8" s="74">
        <v>45049</v>
      </c>
      <c r="L8" s="104"/>
      <c r="M8" s="42"/>
      <c r="N8" s="38">
        <v>2027</v>
      </c>
      <c r="O8" s="38"/>
      <c r="P8" s="69">
        <v>200</v>
      </c>
      <c r="Q8" s="43">
        <v>59000</v>
      </c>
      <c r="R8" s="44"/>
      <c r="S8" s="42">
        <v>50000000</v>
      </c>
      <c r="T8" s="42"/>
      <c r="U8" s="42"/>
      <c r="V8" s="42"/>
      <c r="W8" s="45">
        <f t="shared" ref="W8:Y15" si="18">+$U8*W$1/100</f>
        <v>0</v>
      </c>
      <c r="X8" s="45">
        <f t="shared" si="18"/>
        <v>0</v>
      </c>
      <c r="Y8" s="45">
        <f t="shared" si="18"/>
        <v>0</v>
      </c>
      <c r="Z8" s="45">
        <f t="shared" ref="Z8" si="19">+W8+X8+Y8</f>
        <v>0</v>
      </c>
      <c r="AA8" s="42"/>
      <c r="AB8" s="46"/>
      <c r="AC8" s="75"/>
      <c r="AD8" s="47"/>
      <c r="AE8" s="47"/>
      <c r="AF8" s="47"/>
      <c r="AG8" s="42"/>
      <c r="AH8" s="48">
        <f t="shared" si="14"/>
        <v>0</v>
      </c>
      <c r="AI8" s="49">
        <f t="shared" si="15"/>
        <v>0</v>
      </c>
      <c r="AJ8" s="49">
        <f t="shared" si="16"/>
        <v>0</v>
      </c>
      <c r="AK8" s="49">
        <f t="shared" si="17"/>
        <v>0</v>
      </c>
      <c r="AL8" s="49">
        <f t="shared" ref="AL8" si="20">+Z8-AF8</f>
        <v>0</v>
      </c>
      <c r="AM8" s="76"/>
    </row>
    <row r="9" spans="1:40" s="35" customFormat="1" ht="25.5" customHeight="1" x14ac:dyDescent="0.2">
      <c r="A9" s="36" t="s">
        <v>13</v>
      </c>
      <c r="B9" s="37" t="s">
        <v>14</v>
      </c>
      <c r="C9" s="38">
        <v>35.077647599999999</v>
      </c>
      <c r="D9" s="38">
        <v>-85.153917399999997</v>
      </c>
      <c r="E9" s="39" t="s">
        <v>89</v>
      </c>
      <c r="F9" s="38">
        <v>27892</v>
      </c>
      <c r="G9" s="40">
        <v>41793</v>
      </c>
      <c r="H9" s="41" t="s">
        <v>66</v>
      </c>
      <c r="I9" s="42"/>
      <c r="J9" s="38" t="s">
        <v>46</v>
      </c>
      <c r="K9" s="40">
        <v>41794</v>
      </c>
      <c r="L9" s="106" t="s">
        <v>66</v>
      </c>
      <c r="M9" s="42"/>
      <c r="N9" s="38">
        <v>2014</v>
      </c>
      <c r="O9" s="38">
        <v>2025</v>
      </c>
      <c r="P9" s="50">
        <v>250</v>
      </c>
      <c r="Q9" s="43">
        <v>44699</v>
      </c>
      <c r="R9" s="44"/>
      <c r="S9" s="42">
        <v>50000000</v>
      </c>
      <c r="T9" s="42"/>
      <c r="U9" s="42">
        <f>9245400+3630257</f>
        <v>12875657</v>
      </c>
      <c r="V9" s="42"/>
      <c r="W9" s="45">
        <f t="shared" si="18"/>
        <v>289702.28249999997</v>
      </c>
      <c r="X9" s="45">
        <f t="shared" si="18"/>
        <v>163765.48138300001</v>
      </c>
      <c r="Y9" s="45">
        <f t="shared" si="18"/>
        <v>124301.592678</v>
      </c>
      <c r="Z9" s="45">
        <f t="shared" si="8"/>
        <v>577769.35656099999</v>
      </c>
      <c r="AA9" s="42"/>
      <c r="AB9" s="46">
        <f>104010.75+40840.39</f>
        <v>144851.14000000001</v>
      </c>
      <c r="AC9" s="46">
        <f>58796.12+23086.61</f>
        <v>81882.73000000001</v>
      </c>
      <c r="AD9" s="46">
        <f>Y9</f>
        <v>124301.592678</v>
      </c>
      <c r="AE9" s="47">
        <f>SUM(W9:X9)*0.15</f>
        <v>68020.164582450001</v>
      </c>
      <c r="AF9" s="47">
        <f t="shared" si="9"/>
        <v>419055.62726045004</v>
      </c>
      <c r="AG9" s="42"/>
      <c r="AH9" s="48">
        <f t="shared" si="10"/>
        <v>144851.14249999996</v>
      </c>
      <c r="AI9" s="49">
        <f t="shared" si="10"/>
        <v>81882.751382999995</v>
      </c>
      <c r="AJ9" s="49">
        <f t="shared" si="10"/>
        <v>0</v>
      </c>
      <c r="AK9" s="49">
        <f t="shared" si="11"/>
        <v>-68020.164582450001</v>
      </c>
      <c r="AL9" s="49">
        <f t="shared" si="12"/>
        <v>158713.72930054995</v>
      </c>
      <c r="AN9" s="77">
        <f>+AI9*0.15</f>
        <v>12282.412707449999</v>
      </c>
    </row>
    <row r="10" spans="1:40" s="35" customFormat="1" ht="30" customHeight="1" x14ac:dyDescent="0.2">
      <c r="A10" s="36" t="s">
        <v>15</v>
      </c>
      <c r="B10" s="37" t="s">
        <v>16</v>
      </c>
      <c r="C10" s="38">
        <v>35.052191000000001</v>
      </c>
      <c r="D10" s="38">
        <v>85.307854000000006</v>
      </c>
      <c r="E10" s="39" t="s">
        <v>57</v>
      </c>
      <c r="F10" s="38">
        <v>25843</v>
      </c>
      <c r="G10" s="40">
        <v>39882</v>
      </c>
      <c r="H10" s="41" t="s">
        <v>66</v>
      </c>
      <c r="I10" s="42"/>
      <c r="J10" s="38" t="s">
        <v>47</v>
      </c>
      <c r="K10" s="40">
        <v>39890</v>
      </c>
      <c r="L10" s="106" t="s">
        <v>66</v>
      </c>
      <c r="M10" s="42"/>
      <c r="N10" s="38">
        <v>2011</v>
      </c>
      <c r="O10" s="38">
        <v>2025</v>
      </c>
      <c r="P10" s="50"/>
      <c r="Q10" s="43"/>
      <c r="R10" s="78"/>
      <c r="S10" s="42">
        <v>21000000</v>
      </c>
      <c r="T10" s="42"/>
      <c r="U10" s="42">
        <v>12362160</v>
      </c>
      <c r="V10" s="42"/>
      <c r="W10" s="45">
        <f t="shared" si="18"/>
        <v>278148.59999999998</v>
      </c>
      <c r="X10" s="45">
        <f t="shared" si="18"/>
        <v>157234.31304000001</v>
      </c>
      <c r="Y10" s="45">
        <f t="shared" si="18"/>
        <v>119344.29264</v>
      </c>
      <c r="Z10" s="45">
        <f t="shared" si="8"/>
        <v>554727.20568000001</v>
      </c>
      <c r="AA10" s="42"/>
      <c r="AB10" s="46">
        <f>+W10*0.3</f>
        <v>83444.579999999987</v>
      </c>
      <c r="AC10" s="47">
        <f>+X10*0.3</f>
        <v>47170.293912000001</v>
      </c>
      <c r="AD10" s="47">
        <f>+Y10*0.3</f>
        <v>35803.287791999996</v>
      </c>
      <c r="AE10" s="47"/>
      <c r="AF10" s="47">
        <f t="shared" si="9"/>
        <v>166418.16170399997</v>
      </c>
      <c r="AG10" s="42"/>
      <c r="AH10" s="48">
        <f t="shared" si="10"/>
        <v>194704.02</v>
      </c>
      <c r="AI10" s="49">
        <f t="shared" si="10"/>
        <v>110064.01912800001</v>
      </c>
      <c r="AJ10" s="49">
        <f t="shared" si="10"/>
        <v>83541.004848000011</v>
      </c>
      <c r="AK10" s="49">
        <f t="shared" si="11"/>
        <v>0</v>
      </c>
      <c r="AL10" s="49">
        <f t="shared" si="12"/>
        <v>388309.04397600004</v>
      </c>
    </row>
    <row r="11" spans="1:40" s="35" customFormat="1" ht="30" customHeight="1" x14ac:dyDescent="0.2">
      <c r="A11" s="161" t="s">
        <v>182</v>
      </c>
      <c r="B11" s="162"/>
      <c r="C11" s="158"/>
      <c r="D11" s="158"/>
      <c r="E11" s="160"/>
      <c r="F11" s="38">
        <v>30824</v>
      </c>
      <c r="G11" s="40">
        <v>44383</v>
      </c>
      <c r="H11" s="73" t="s">
        <v>66</v>
      </c>
      <c r="I11" s="42"/>
      <c r="J11" s="38" t="s">
        <v>181</v>
      </c>
      <c r="K11" s="40">
        <v>44384</v>
      </c>
      <c r="L11" s="104" t="s">
        <v>66</v>
      </c>
      <c r="M11" s="42"/>
      <c r="N11" s="38">
        <v>2025</v>
      </c>
      <c r="O11" s="38">
        <v>2031</v>
      </c>
      <c r="P11" s="50">
        <v>300</v>
      </c>
      <c r="Q11" s="43">
        <v>42000</v>
      </c>
      <c r="R11" s="78"/>
      <c r="S11" s="42">
        <v>150000000</v>
      </c>
      <c r="T11" s="42"/>
      <c r="U11" s="42">
        <v>0</v>
      </c>
      <c r="V11" s="42"/>
      <c r="W11" s="45">
        <f t="shared" si="18"/>
        <v>0</v>
      </c>
      <c r="X11" s="45">
        <f t="shared" si="18"/>
        <v>0</v>
      </c>
      <c r="Y11" s="45">
        <f t="shared" si="18"/>
        <v>0</v>
      </c>
      <c r="Z11" s="45">
        <f t="shared" ref="Z11" si="21">+W11+X11+Y11</f>
        <v>0</v>
      </c>
      <c r="AA11" s="42"/>
      <c r="AB11" s="46">
        <f>W11*0.25</f>
        <v>0</v>
      </c>
      <c r="AC11" s="47">
        <f>X11*0.25</f>
        <v>0</v>
      </c>
      <c r="AD11" s="47">
        <f>Y11</f>
        <v>0</v>
      </c>
      <c r="AE11" s="47">
        <f>X11*0.15</f>
        <v>0</v>
      </c>
      <c r="AF11" s="47">
        <f t="shared" si="9"/>
        <v>0</v>
      </c>
      <c r="AG11" s="42"/>
      <c r="AH11" s="48">
        <f t="shared" ref="AH11" si="22">+W11-AB11</f>
        <v>0</v>
      </c>
      <c r="AI11" s="49">
        <f t="shared" ref="AI11" si="23">+X11-AC11</f>
        <v>0</v>
      </c>
      <c r="AJ11" s="49">
        <f t="shared" ref="AJ11" si="24">+Y11-AD11</f>
        <v>0</v>
      </c>
      <c r="AK11" s="49">
        <f t="shared" ref="AK11" si="25">-AE11</f>
        <v>0</v>
      </c>
      <c r="AL11" s="49">
        <f t="shared" ref="AL11" si="26">+Z11-AF11</f>
        <v>0</v>
      </c>
    </row>
    <row r="12" spans="1:40" s="35" customFormat="1" ht="25.5" customHeight="1" x14ac:dyDescent="0.2">
      <c r="A12" s="36" t="s">
        <v>18</v>
      </c>
      <c r="B12" s="37" t="s">
        <v>19</v>
      </c>
      <c r="C12" s="38">
        <v>35.053296000000003</v>
      </c>
      <c r="D12" s="38">
        <v>-85.311479199999994</v>
      </c>
      <c r="E12" s="39" t="s">
        <v>58</v>
      </c>
      <c r="F12" s="38">
        <v>25682</v>
      </c>
      <c r="G12" s="40">
        <v>39721</v>
      </c>
      <c r="H12" s="41" t="s">
        <v>66</v>
      </c>
      <c r="I12" s="42"/>
      <c r="J12" s="38" t="s">
        <v>48</v>
      </c>
      <c r="K12" s="40">
        <v>39722</v>
      </c>
      <c r="L12" s="106" t="s">
        <v>66</v>
      </c>
      <c r="M12" s="42"/>
      <c r="N12" s="38">
        <v>2010</v>
      </c>
      <c r="O12" s="38">
        <v>2024</v>
      </c>
      <c r="P12" s="50"/>
      <c r="Q12" s="43"/>
      <c r="R12" s="44"/>
      <c r="S12" s="42">
        <v>7000000</v>
      </c>
      <c r="T12" s="42"/>
      <c r="U12" s="42">
        <v>4830480</v>
      </c>
      <c r="V12" s="42"/>
      <c r="W12" s="45">
        <f t="shared" si="18"/>
        <v>108685.8</v>
      </c>
      <c r="X12" s="45">
        <f t="shared" si="18"/>
        <v>61438.875120000004</v>
      </c>
      <c r="Y12" s="45">
        <f t="shared" si="18"/>
        <v>46633.45392</v>
      </c>
      <c r="Z12" s="45">
        <f t="shared" si="8"/>
        <v>216758.12904</v>
      </c>
      <c r="AA12" s="42"/>
      <c r="AB12" s="46">
        <v>0</v>
      </c>
      <c r="AC12" s="47">
        <v>0</v>
      </c>
      <c r="AD12" s="47">
        <f>Y12</f>
        <v>46633.45392</v>
      </c>
      <c r="AE12" s="47"/>
      <c r="AF12" s="47">
        <f t="shared" si="9"/>
        <v>46633.45392</v>
      </c>
      <c r="AG12" s="42"/>
      <c r="AH12" s="48">
        <f t="shared" si="10"/>
        <v>108685.8</v>
      </c>
      <c r="AI12" s="49">
        <f t="shared" si="10"/>
        <v>61438.875120000004</v>
      </c>
      <c r="AJ12" s="49">
        <f t="shared" si="10"/>
        <v>0</v>
      </c>
      <c r="AK12" s="49">
        <f t="shared" si="11"/>
        <v>0</v>
      </c>
      <c r="AL12" s="49">
        <f t="shared" si="12"/>
        <v>170124.67512</v>
      </c>
    </row>
    <row r="13" spans="1:40" s="35" customFormat="1" ht="25.5" customHeight="1" x14ac:dyDescent="0.2">
      <c r="A13" s="36" t="s">
        <v>50</v>
      </c>
      <c r="B13" s="37" t="s">
        <v>17</v>
      </c>
      <c r="C13" s="38">
        <v>35.083309</v>
      </c>
      <c r="D13" s="38">
        <v>-85.261724999999998</v>
      </c>
      <c r="E13" s="39" t="s">
        <v>92</v>
      </c>
      <c r="F13" s="38">
        <v>28072</v>
      </c>
      <c r="G13" s="40">
        <v>41975</v>
      </c>
      <c r="H13" s="41" t="s">
        <v>66</v>
      </c>
      <c r="I13" s="42"/>
      <c r="J13" s="38" t="s">
        <v>49</v>
      </c>
      <c r="K13" s="40">
        <v>41976</v>
      </c>
      <c r="L13" s="106" t="s">
        <v>66</v>
      </c>
      <c r="M13" s="42"/>
      <c r="N13" s="38">
        <v>2015</v>
      </c>
      <c r="O13" s="38">
        <v>2022</v>
      </c>
      <c r="P13" s="50">
        <v>105</v>
      </c>
      <c r="Q13" s="43">
        <v>45000</v>
      </c>
      <c r="R13" s="44"/>
      <c r="S13" s="42">
        <v>18100000</v>
      </c>
      <c r="T13" s="42"/>
      <c r="U13" s="42">
        <f>856320+5748120+5344800+167760+763728</f>
        <v>12880728</v>
      </c>
      <c r="V13" s="42"/>
      <c r="W13" s="45">
        <f t="shared" si="18"/>
        <v>289816.38</v>
      </c>
      <c r="X13" s="45">
        <f t="shared" si="18"/>
        <v>163829.97943199999</v>
      </c>
      <c r="Y13" s="45">
        <f>ROUND(+$U13*Y$1/100,2)</f>
        <v>124350.55</v>
      </c>
      <c r="Z13" s="45">
        <f t="shared" si="8"/>
        <v>577996.90943200001</v>
      </c>
      <c r="AA13" s="42"/>
      <c r="AB13" s="47">
        <f>W13</f>
        <v>289816.38</v>
      </c>
      <c r="AC13" s="47">
        <f>X13</f>
        <v>163829.97943199999</v>
      </c>
      <c r="AD13" s="47">
        <f>Y13</f>
        <v>124350.55</v>
      </c>
      <c r="AE13" s="47"/>
      <c r="AF13" s="47">
        <f t="shared" si="9"/>
        <v>577996.90943200001</v>
      </c>
      <c r="AG13" s="42"/>
      <c r="AH13" s="48">
        <f t="shared" si="10"/>
        <v>0</v>
      </c>
      <c r="AI13" s="49">
        <f t="shared" si="10"/>
        <v>0</v>
      </c>
      <c r="AJ13" s="49">
        <f t="shared" si="10"/>
        <v>0</v>
      </c>
      <c r="AK13" s="49">
        <f t="shared" si="11"/>
        <v>0</v>
      </c>
      <c r="AL13" s="49">
        <f t="shared" si="12"/>
        <v>0</v>
      </c>
      <c r="AN13" s="77">
        <f>+X13*0.15</f>
        <v>24574.496914799998</v>
      </c>
    </row>
    <row r="14" spans="1:40" s="35" customFormat="1" ht="25.5" customHeight="1" x14ac:dyDescent="0.2">
      <c r="A14" s="36" t="s">
        <v>180</v>
      </c>
      <c r="B14" s="37" t="s">
        <v>208</v>
      </c>
      <c r="C14" s="38"/>
      <c r="D14" s="38"/>
      <c r="E14" s="39" t="s">
        <v>207</v>
      </c>
      <c r="F14" s="38">
        <v>30938</v>
      </c>
      <c r="G14" s="40">
        <v>44516</v>
      </c>
      <c r="H14" s="73" t="s">
        <v>66</v>
      </c>
      <c r="I14" s="42"/>
      <c r="J14" s="38" t="s">
        <v>179</v>
      </c>
      <c r="K14" s="40">
        <v>44517</v>
      </c>
      <c r="L14" s="104" t="s">
        <v>66</v>
      </c>
      <c r="M14" s="42"/>
      <c r="N14" s="38">
        <v>2023</v>
      </c>
      <c r="O14" s="38">
        <v>2031</v>
      </c>
      <c r="P14" s="50">
        <v>360</v>
      </c>
      <c r="Q14" s="43">
        <v>56000</v>
      </c>
      <c r="R14" s="44"/>
      <c r="S14" s="42">
        <v>10080000</v>
      </c>
      <c r="T14" s="42"/>
      <c r="U14" s="42">
        <f>2808880+326261</f>
        <v>3135141</v>
      </c>
      <c r="V14" s="42"/>
      <c r="W14" s="45">
        <f t="shared" si="18"/>
        <v>70540.672500000001</v>
      </c>
      <c r="X14" s="45">
        <f t="shared" si="18"/>
        <v>39875.858379000005</v>
      </c>
      <c r="Y14" s="45">
        <f>ROUND(+$U14*Y$1/100,2)</f>
        <v>30266.65</v>
      </c>
      <c r="Z14" s="45">
        <f t="shared" ref="Z14" si="27">+W14+X14+Y14</f>
        <v>140683.18087899999</v>
      </c>
      <c r="AA14" s="42"/>
      <c r="AB14" s="47">
        <f>W14*0.25</f>
        <v>17635.168125</v>
      </c>
      <c r="AC14" s="47">
        <f>X14*0.25</f>
        <v>9968.9645947500012</v>
      </c>
      <c r="AD14" s="47">
        <f>Y14</f>
        <v>30266.65</v>
      </c>
      <c r="AE14" s="47">
        <f>X14*0.15</f>
        <v>5981.3787568500002</v>
      </c>
      <c r="AF14" s="47">
        <f t="shared" si="9"/>
        <v>63852.161476599998</v>
      </c>
      <c r="AG14" s="42"/>
      <c r="AH14" s="48">
        <f t="shared" ref="AH14" si="28">+W14-AB14</f>
        <v>52905.504375000004</v>
      </c>
      <c r="AI14" s="49">
        <f t="shared" ref="AI14" si="29">+X14-AC14</f>
        <v>29906.893784250002</v>
      </c>
      <c r="AJ14" s="49">
        <f t="shared" ref="AJ14" si="30">+Y14-AD14</f>
        <v>0</v>
      </c>
      <c r="AK14" s="49">
        <f t="shared" ref="AK14" si="31">-AE14</f>
        <v>-5981.3787568500002</v>
      </c>
      <c r="AL14" s="49">
        <f t="shared" si="12"/>
        <v>76831.019402399994</v>
      </c>
      <c r="AN14" s="77"/>
    </row>
    <row r="15" spans="1:40" s="35" customFormat="1" ht="54" customHeight="1" x14ac:dyDescent="0.2">
      <c r="A15" s="36" t="s">
        <v>20</v>
      </c>
      <c r="B15" s="37" t="s">
        <v>21</v>
      </c>
      <c r="C15" s="38">
        <v>35.079189999999997</v>
      </c>
      <c r="D15" s="38">
        <v>-85.138220000000004</v>
      </c>
      <c r="E15" s="39" t="s">
        <v>59</v>
      </c>
      <c r="F15" s="38">
        <v>25738</v>
      </c>
      <c r="G15" s="40">
        <v>39777</v>
      </c>
      <c r="H15" s="41" t="s">
        <v>66</v>
      </c>
      <c r="I15" s="42"/>
      <c r="J15" s="38" t="s">
        <v>54</v>
      </c>
      <c r="K15" s="40">
        <v>39765</v>
      </c>
      <c r="L15" s="106" t="s">
        <v>66</v>
      </c>
      <c r="M15" s="42"/>
      <c r="N15" s="38">
        <v>2010</v>
      </c>
      <c r="O15" s="38">
        <v>2038</v>
      </c>
      <c r="P15" s="79">
        <v>2000</v>
      </c>
      <c r="Q15" s="43"/>
      <c r="R15" s="44" t="s">
        <v>154</v>
      </c>
      <c r="S15" s="42">
        <v>1000000000</v>
      </c>
      <c r="T15" s="42"/>
      <c r="U15" s="42">
        <f>4000000+293526608+226769984</f>
        <v>524296592</v>
      </c>
      <c r="V15" s="42"/>
      <c r="W15" s="45">
        <f>+$U15*W$1/100+931465.5</f>
        <v>12728138.82</v>
      </c>
      <c r="X15" s="45">
        <f t="shared" si="18"/>
        <v>6668528.3536479995</v>
      </c>
      <c r="Y15" s="45">
        <f t="shared" si="18"/>
        <v>5061559.299168</v>
      </c>
      <c r="Z15" s="45">
        <f t="shared" si="8"/>
        <v>24458226.472815998</v>
      </c>
      <c r="AA15" s="42"/>
      <c r="AB15" s="46">
        <v>931465.5</v>
      </c>
      <c r="AC15" s="47">
        <v>0</v>
      </c>
      <c r="AD15" s="47">
        <f>Y15-AB15</f>
        <v>4130093.799168</v>
      </c>
      <c r="AE15" s="47"/>
      <c r="AF15" s="47">
        <f t="shared" si="9"/>
        <v>5061559.299168</v>
      </c>
      <c r="AG15" s="42"/>
      <c r="AH15" s="48">
        <f t="shared" si="10"/>
        <v>11796673.32</v>
      </c>
      <c r="AI15" s="49">
        <f t="shared" si="10"/>
        <v>6668528.3536479995</v>
      </c>
      <c r="AJ15" s="49">
        <f t="shared" si="10"/>
        <v>931465.5</v>
      </c>
      <c r="AK15" s="49">
        <f t="shared" si="11"/>
        <v>0</v>
      </c>
      <c r="AL15" s="49">
        <f t="shared" si="12"/>
        <v>19396667.173648</v>
      </c>
    </row>
    <row r="16" spans="1:40" s="35" customFormat="1" ht="25.5" customHeight="1" x14ac:dyDescent="0.2">
      <c r="A16" s="36" t="s">
        <v>33</v>
      </c>
      <c r="B16" s="37" t="s">
        <v>63</v>
      </c>
      <c r="C16" s="38">
        <v>35.079189999999997</v>
      </c>
      <c r="D16" s="38">
        <v>-85.138220000000004</v>
      </c>
      <c r="E16" s="39"/>
      <c r="F16" s="38">
        <v>27960</v>
      </c>
      <c r="G16" s="40">
        <v>41849</v>
      </c>
      <c r="H16" s="41" t="s">
        <v>66</v>
      </c>
      <c r="I16" s="42"/>
      <c r="J16" s="38" t="s">
        <v>55</v>
      </c>
      <c r="K16" s="40">
        <v>41843</v>
      </c>
      <c r="L16" s="106" t="s">
        <v>66</v>
      </c>
      <c r="M16" s="42"/>
      <c r="N16" s="38">
        <v>2015</v>
      </c>
      <c r="O16" s="38">
        <v>2038</v>
      </c>
      <c r="P16" s="79">
        <v>2000</v>
      </c>
      <c r="Q16" s="43"/>
      <c r="R16" s="44"/>
      <c r="S16" s="42">
        <v>600000000</v>
      </c>
      <c r="T16" s="42"/>
      <c r="U16" s="42"/>
      <c r="V16" s="42"/>
      <c r="W16" s="45">
        <v>0</v>
      </c>
      <c r="X16" s="45">
        <v>0</v>
      </c>
      <c r="Y16" s="45">
        <v>0</v>
      </c>
      <c r="Z16" s="45">
        <f t="shared" si="8"/>
        <v>0</v>
      </c>
      <c r="AA16" s="42"/>
      <c r="AB16" s="46">
        <v>0</v>
      </c>
      <c r="AC16" s="47">
        <v>0</v>
      </c>
      <c r="AD16" s="47">
        <v>0</v>
      </c>
      <c r="AE16" s="47">
        <v>250000</v>
      </c>
      <c r="AF16" s="47">
        <f t="shared" si="9"/>
        <v>250000</v>
      </c>
      <c r="AG16" s="42"/>
      <c r="AH16" s="48">
        <f t="shared" si="10"/>
        <v>0</v>
      </c>
      <c r="AI16" s="49">
        <f t="shared" si="10"/>
        <v>0</v>
      </c>
      <c r="AJ16" s="49">
        <f t="shared" si="10"/>
        <v>0</v>
      </c>
      <c r="AK16" s="49">
        <f t="shared" si="11"/>
        <v>-250000</v>
      </c>
      <c r="AL16" s="49">
        <f t="shared" si="12"/>
        <v>-250000</v>
      </c>
    </row>
    <row r="17" spans="1:39" s="35" customFormat="1" ht="25.5" x14ac:dyDescent="0.2">
      <c r="A17" s="36" t="s">
        <v>93</v>
      </c>
      <c r="B17" s="37" t="s">
        <v>121</v>
      </c>
      <c r="C17" s="38"/>
      <c r="D17" s="38"/>
      <c r="E17" s="39" t="s">
        <v>120</v>
      </c>
      <c r="F17" s="38">
        <v>28501</v>
      </c>
      <c r="G17" s="40">
        <v>42388</v>
      </c>
      <c r="H17" s="73" t="s">
        <v>66</v>
      </c>
      <c r="I17" s="42"/>
      <c r="J17" s="38" t="s">
        <v>94</v>
      </c>
      <c r="K17" s="40">
        <v>42389</v>
      </c>
      <c r="L17" s="104" t="s">
        <v>66</v>
      </c>
      <c r="M17" s="42"/>
      <c r="N17" s="38">
        <v>2017</v>
      </c>
      <c r="O17" s="38">
        <v>2030</v>
      </c>
      <c r="P17" s="69">
        <v>325</v>
      </c>
      <c r="Q17" s="43">
        <v>50000</v>
      </c>
      <c r="R17" s="44" t="s">
        <v>155</v>
      </c>
      <c r="S17" s="42">
        <v>48000000</v>
      </c>
      <c r="T17" s="42"/>
      <c r="U17" s="42">
        <v>3315870</v>
      </c>
      <c r="V17" s="42"/>
      <c r="W17" s="45">
        <f t="shared" ref="W17:Y17" si="32">+$U17*W$1/100</f>
        <v>74607.074999999997</v>
      </c>
      <c r="X17" s="45">
        <f t="shared" si="32"/>
        <v>42174.55053</v>
      </c>
      <c r="Y17" s="45">
        <f t="shared" si="32"/>
        <v>32011.40898</v>
      </c>
      <c r="Z17" s="45">
        <f t="shared" ref="Z17" si="33">+W17+X17+Y17</f>
        <v>148793.03451</v>
      </c>
      <c r="AA17" s="42"/>
      <c r="AB17" s="46">
        <f>W17*0.529</f>
        <v>39467.142675000003</v>
      </c>
      <c r="AC17" s="47">
        <f>X17*0.529</f>
        <v>22310.337230370002</v>
      </c>
      <c r="AD17" s="47">
        <f>Y17</f>
        <v>32011.40898</v>
      </c>
      <c r="AE17" s="47">
        <f>W17*0.15</f>
        <v>11191.061249999999</v>
      </c>
      <c r="AF17" s="47">
        <f>SUM(AB17:AE17)</f>
        <v>104979.95013537</v>
      </c>
      <c r="AG17" s="42"/>
      <c r="AH17" s="48">
        <f t="shared" ref="AH17" si="34">+W17-AB17</f>
        <v>35139.932324999994</v>
      </c>
      <c r="AI17" s="49">
        <f t="shared" ref="AI17:AJ17" si="35">+X17-AC17</f>
        <v>19864.213299629999</v>
      </c>
      <c r="AJ17" s="49">
        <f t="shared" si="35"/>
        <v>0</v>
      </c>
      <c r="AK17" s="49">
        <f t="shared" ref="AK17" si="36">-AE17</f>
        <v>-11191.061249999999</v>
      </c>
      <c r="AL17" s="49">
        <f t="shared" ref="AL17" si="37">+Z17-AF17</f>
        <v>43813.084374629994</v>
      </c>
    </row>
    <row r="18" spans="1:39" s="89" customFormat="1" ht="38.25" customHeight="1" x14ac:dyDescent="0.25">
      <c r="A18" s="138" t="s">
        <v>44</v>
      </c>
      <c r="B18" s="81"/>
      <c r="C18" s="81"/>
      <c r="D18" s="81"/>
      <c r="E18" s="81"/>
      <c r="F18" s="81"/>
      <c r="G18" s="82"/>
      <c r="H18" s="82"/>
      <c r="I18" s="83"/>
      <c r="J18" s="81"/>
      <c r="K18" s="82"/>
      <c r="L18" s="82"/>
      <c r="M18" s="83"/>
      <c r="N18" s="81"/>
      <c r="O18" s="81"/>
      <c r="P18" s="81"/>
      <c r="Q18" s="84"/>
      <c r="R18" s="85"/>
      <c r="S18" s="83"/>
      <c r="T18" s="83"/>
      <c r="U18" s="170"/>
      <c r="V18" s="83"/>
      <c r="W18" s="86"/>
      <c r="X18" s="86"/>
      <c r="Y18" s="86"/>
      <c r="Z18" s="83"/>
      <c r="AA18" s="83"/>
      <c r="AB18" s="86"/>
      <c r="AC18" s="86"/>
      <c r="AD18" s="165"/>
      <c r="AE18" s="87"/>
      <c r="AF18" s="83"/>
      <c r="AG18" s="83"/>
      <c r="AH18" s="83"/>
      <c r="AI18" s="83"/>
      <c r="AJ18" s="83"/>
      <c r="AK18" s="83"/>
      <c r="AL18" s="83"/>
      <c r="AM18" s="88"/>
    </row>
    <row r="19" spans="1:39" s="35" customFormat="1" ht="25.5" customHeight="1" x14ac:dyDescent="0.2">
      <c r="A19" s="185" t="s">
        <v>73</v>
      </c>
      <c r="B19" s="218" t="s">
        <v>12</v>
      </c>
      <c r="C19" s="38">
        <v>35.074481900000002</v>
      </c>
      <c r="D19" s="38">
        <v>-85.156702999999993</v>
      </c>
      <c r="E19" s="219" t="s">
        <v>139</v>
      </c>
      <c r="F19" s="207">
        <v>26356</v>
      </c>
      <c r="G19" s="220">
        <v>40365</v>
      </c>
      <c r="H19" s="222" t="s">
        <v>66</v>
      </c>
      <c r="I19" s="90"/>
      <c r="J19" s="91" t="s">
        <v>84</v>
      </c>
      <c r="K19" s="92">
        <v>40129</v>
      </c>
      <c r="L19" s="133" t="s">
        <v>66</v>
      </c>
      <c r="M19" s="90"/>
      <c r="N19" s="207">
        <v>2011</v>
      </c>
      <c r="O19" s="207">
        <v>2024</v>
      </c>
      <c r="P19" s="209">
        <v>230</v>
      </c>
      <c r="Q19" s="211">
        <v>38247</v>
      </c>
      <c r="R19" s="93"/>
      <c r="S19" s="213">
        <v>90300000</v>
      </c>
      <c r="T19" s="42"/>
      <c r="U19" s="213">
        <f>32218400+1410908</f>
        <v>33629308</v>
      </c>
      <c r="V19" s="90"/>
      <c r="W19" s="191">
        <f t="shared" ref="W19:Y26" si="38">+$U19*W$1/100</f>
        <v>756659.43</v>
      </c>
      <c r="X19" s="191">
        <f t="shared" si="38"/>
        <v>427731.16845200001</v>
      </c>
      <c r="Y19" s="191">
        <f t="shared" si="38"/>
        <v>324657.33943200001</v>
      </c>
      <c r="Z19" s="191">
        <f t="shared" ref="Z19" si="39">+W19+X19+Y19</f>
        <v>1509047.9378839999</v>
      </c>
      <c r="AA19" s="90"/>
      <c r="AB19" s="216">
        <f>397951.58+17427.08</f>
        <v>415378.66000000003</v>
      </c>
      <c r="AC19" s="224">
        <f>224957.61+9851.33</f>
        <v>234808.93999999997</v>
      </c>
      <c r="AD19" s="175">
        <f>Y19</f>
        <v>324657.33943200001</v>
      </c>
      <c r="AE19" s="175"/>
      <c r="AF19" s="175">
        <f t="shared" ref="AF19:AF24" si="40">+AB19+AC19+AD19+AE19</f>
        <v>974844.93943200004</v>
      </c>
      <c r="AG19" s="90"/>
      <c r="AH19" s="177">
        <f t="shared" ref="AH19:AJ19" si="41">+W19-AB19</f>
        <v>341280.77</v>
      </c>
      <c r="AI19" s="173">
        <f t="shared" si="41"/>
        <v>192922.22845200004</v>
      </c>
      <c r="AJ19" s="173">
        <f t="shared" si="41"/>
        <v>0</v>
      </c>
      <c r="AK19" s="173">
        <f t="shared" ref="AK19" si="42">-AE19</f>
        <v>0</v>
      </c>
      <c r="AL19" s="172">
        <f t="shared" ref="AL19" si="43">+Z19-AF19</f>
        <v>534202.99845199985</v>
      </c>
      <c r="AM19" s="76"/>
    </row>
    <row r="20" spans="1:39" s="35" customFormat="1" ht="25.5" customHeight="1" x14ac:dyDescent="0.2">
      <c r="A20" s="185"/>
      <c r="B20" s="218"/>
      <c r="C20" s="38"/>
      <c r="D20" s="38"/>
      <c r="E20" s="219"/>
      <c r="F20" s="208"/>
      <c r="G20" s="221"/>
      <c r="H20" s="223"/>
      <c r="I20" s="57"/>
      <c r="J20" s="54" t="s">
        <v>83</v>
      </c>
      <c r="K20" s="130">
        <v>40366</v>
      </c>
      <c r="L20" s="135" t="s">
        <v>66</v>
      </c>
      <c r="M20" s="57"/>
      <c r="N20" s="208"/>
      <c r="O20" s="208"/>
      <c r="P20" s="210"/>
      <c r="Q20" s="212"/>
      <c r="R20" s="109"/>
      <c r="S20" s="214"/>
      <c r="T20" s="90"/>
      <c r="U20" s="214"/>
      <c r="V20" s="57"/>
      <c r="W20" s="215"/>
      <c r="X20" s="215"/>
      <c r="Y20" s="215"/>
      <c r="Z20" s="215"/>
      <c r="AA20" s="57"/>
      <c r="AB20" s="217"/>
      <c r="AC20" s="225"/>
      <c r="AD20" s="226"/>
      <c r="AE20" s="226"/>
      <c r="AF20" s="226"/>
      <c r="AG20" s="57"/>
      <c r="AH20" s="227"/>
      <c r="AI20" s="187"/>
      <c r="AJ20" s="187"/>
      <c r="AK20" s="187"/>
      <c r="AL20" s="173"/>
      <c r="AM20" s="76"/>
    </row>
    <row r="21" spans="1:39" s="35" customFormat="1" ht="25.5" customHeight="1" x14ac:dyDescent="0.2">
      <c r="A21" s="194" t="s">
        <v>146</v>
      </c>
      <c r="B21" s="194" t="s">
        <v>86</v>
      </c>
      <c r="C21" s="38"/>
      <c r="D21" s="38"/>
      <c r="E21" s="197" t="s">
        <v>149</v>
      </c>
      <c r="F21" s="53">
        <v>28301</v>
      </c>
      <c r="G21" s="55">
        <v>42185</v>
      </c>
      <c r="H21" s="151" t="s">
        <v>66</v>
      </c>
      <c r="I21" s="57"/>
      <c r="J21" s="54" t="s">
        <v>81</v>
      </c>
      <c r="K21" s="130">
        <v>42186</v>
      </c>
      <c r="L21" s="135" t="s">
        <v>66</v>
      </c>
      <c r="M21" s="57"/>
      <c r="N21" s="229">
        <v>2017</v>
      </c>
      <c r="O21" s="229">
        <v>2029</v>
      </c>
      <c r="P21" s="231">
        <f>374+150</f>
        <v>524</v>
      </c>
      <c r="Q21" s="233"/>
      <c r="R21" s="235" t="s">
        <v>162</v>
      </c>
      <c r="S21" s="192">
        <f>140900000+48000000</f>
        <v>188900000</v>
      </c>
      <c r="T21" s="150"/>
      <c r="U21" s="192">
        <f>5443800+5450200+13351780+6304505</f>
        <v>30550285</v>
      </c>
      <c r="V21" s="57"/>
      <c r="W21" s="237">
        <f t="shared" si="38"/>
        <v>687381.41249999998</v>
      </c>
      <c r="X21" s="237">
        <f t="shared" si="38"/>
        <v>388569.074915</v>
      </c>
      <c r="Y21" s="237">
        <f t="shared" si="38"/>
        <v>294932.45139</v>
      </c>
      <c r="Z21" s="237">
        <f t="shared" ref="Z21" si="44">+W21+X21+Y21</f>
        <v>1370882.9388049999</v>
      </c>
      <c r="AA21" s="131"/>
      <c r="AB21" s="188">
        <f>W21*0.4</f>
        <v>274952.565</v>
      </c>
      <c r="AC21" s="180">
        <f>X21*0.5</f>
        <v>194284.5374575</v>
      </c>
      <c r="AD21" s="182">
        <f>Y21</f>
        <v>294932.45139</v>
      </c>
      <c r="AE21" s="182">
        <f>SUM(X21:Y22)*0.1253+SUM(W21*0.15)</f>
        <v>188749.9531210165</v>
      </c>
      <c r="AF21" s="184">
        <f t="shared" si="40"/>
        <v>952919.50696851651</v>
      </c>
      <c r="AG21" s="131"/>
      <c r="AH21" s="189">
        <f t="shared" ref="AH21" si="45">+W21-AB21</f>
        <v>412428.84749999997</v>
      </c>
      <c r="AI21" s="186">
        <f t="shared" ref="AI21" si="46">+X21-AC21</f>
        <v>194284.5374575</v>
      </c>
      <c r="AJ21" s="186">
        <f t="shared" ref="AJ21" si="47">+Y21-AD21</f>
        <v>0</v>
      </c>
      <c r="AK21" s="186">
        <f t="shared" ref="AK21" si="48">-AE21</f>
        <v>-188749.9531210165</v>
      </c>
      <c r="AL21" s="186">
        <f t="shared" ref="AL21" si="49">+Z21-AF21</f>
        <v>417963.43183648342</v>
      </c>
      <c r="AM21" s="76"/>
    </row>
    <row r="22" spans="1:39" s="35" customFormat="1" ht="25.5" customHeight="1" x14ac:dyDescent="0.2">
      <c r="A22" s="195"/>
      <c r="B22" s="195"/>
      <c r="C22" s="38"/>
      <c r="D22" s="38"/>
      <c r="E22" s="198"/>
      <c r="F22" s="53">
        <v>28424</v>
      </c>
      <c r="G22" s="55">
        <v>42290</v>
      </c>
      <c r="H22" s="151" t="s">
        <v>66</v>
      </c>
      <c r="I22" s="57"/>
      <c r="J22" s="54" t="s">
        <v>85</v>
      </c>
      <c r="K22" s="130">
        <v>42283</v>
      </c>
      <c r="L22" s="135" t="s">
        <v>66</v>
      </c>
      <c r="M22" s="57"/>
      <c r="N22" s="229"/>
      <c r="O22" s="229"/>
      <c r="P22" s="231"/>
      <c r="Q22" s="233"/>
      <c r="R22" s="235"/>
      <c r="S22" s="192"/>
      <c r="T22" s="90"/>
      <c r="U22" s="192"/>
      <c r="V22" s="57"/>
      <c r="W22" s="237"/>
      <c r="X22" s="237"/>
      <c r="Y22" s="237"/>
      <c r="Z22" s="237"/>
      <c r="AA22" s="131"/>
      <c r="AB22" s="188"/>
      <c r="AC22" s="180"/>
      <c r="AD22" s="182"/>
      <c r="AE22" s="182"/>
      <c r="AF22" s="184"/>
      <c r="AG22" s="131"/>
      <c r="AH22" s="189"/>
      <c r="AI22" s="186"/>
      <c r="AJ22" s="186"/>
      <c r="AK22" s="186"/>
      <c r="AL22" s="186"/>
      <c r="AM22" s="76"/>
    </row>
    <row r="23" spans="1:39" s="35" customFormat="1" ht="25.5" customHeight="1" x14ac:dyDescent="0.2">
      <c r="A23" s="196"/>
      <c r="B23" s="196"/>
      <c r="C23" s="38"/>
      <c r="D23" s="38"/>
      <c r="E23" s="199"/>
      <c r="F23" s="32">
        <v>29847</v>
      </c>
      <c r="G23" s="34">
        <v>43543</v>
      </c>
      <c r="H23" s="95" t="s">
        <v>66</v>
      </c>
      <c r="I23" s="150"/>
      <c r="J23" s="33" t="s">
        <v>161</v>
      </c>
      <c r="K23" s="94">
        <v>43544</v>
      </c>
      <c r="L23" s="134" t="s">
        <v>66</v>
      </c>
      <c r="M23" s="150"/>
      <c r="N23" s="230"/>
      <c r="O23" s="230"/>
      <c r="P23" s="232"/>
      <c r="Q23" s="234"/>
      <c r="R23" s="236"/>
      <c r="S23" s="193"/>
      <c r="T23" s="150"/>
      <c r="U23" s="193"/>
      <c r="V23" s="150"/>
      <c r="W23" s="190"/>
      <c r="X23" s="190"/>
      <c r="Y23" s="190"/>
      <c r="Z23" s="190"/>
      <c r="AA23" s="96"/>
      <c r="AB23" s="178"/>
      <c r="AC23" s="181"/>
      <c r="AD23" s="183"/>
      <c r="AE23" s="183"/>
      <c r="AF23" s="174"/>
      <c r="AG23" s="96"/>
      <c r="AH23" s="176"/>
      <c r="AI23" s="172"/>
      <c r="AJ23" s="172"/>
      <c r="AK23" s="172"/>
      <c r="AL23" s="172"/>
      <c r="AM23" s="76"/>
    </row>
    <row r="24" spans="1:39" s="35" customFormat="1" ht="25.5" customHeight="1" x14ac:dyDescent="0.2">
      <c r="A24" s="195" t="s">
        <v>142</v>
      </c>
      <c r="B24" s="195" t="s">
        <v>143</v>
      </c>
      <c r="C24" s="32"/>
      <c r="D24" s="32"/>
      <c r="E24" s="198" t="s">
        <v>171</v>
      </c>
      <c r="F24" s="53">
        <v>29248</v>
      </c>
      <c r="G24" s="55">
        <v>43060</v>
      </c>
      <c r="H24" s="151" t="s">
        <v>66</v>
      </c>
      <c r="I24" s="57"/>
      <c r="J24" s="54" t="s">
        <v>144</v>
      </c>
      <c r="K24" s="130">
        <v>43054</v>
      </c>
      <c r="L24" s="149" t="s">
        <v>66</v>
      </c>
      <c r="M24" s="57"/>
      <c r="N24" s="229">
        <v>2019</v>
      </c>
      <c r="O24" s="229">
        <v>2025</v>
      </c>
      <c r="P24" s="238">
        <v>110</v>
      </c>
      <c r="Q24" s="233"/>
      <c r="R24" s="109"/>
      <c r="S24" s="192">
        <v>42700000</v>
      </c>
      <c r="T24" s="150"/>
      <c r="U24" s="192">
        <f>96440+21840+2381801+3693763</f>
        <v>6193844</v>
      </c>
      <c r="V24" s="57"/>
      <c r="W24" s="190">
        <f t="shared" si="38"/>
        <v>139361.49</v>
      </c>
      <c r="X24" s="190">
        <f t="shared" si="38"/>
        <v>78779.501835999996</v>
      </c>
      <c r="Y24" s="190">
        <f t="shared" si="38"/>
        <v>59795.369976000002</v>
      </c>
      <c r="Z24" s="190">
        <f t="shared" ref="Z24" si="50">+W24+X24+Y24</f>
        <v>277936.36181199999</v>
      </c>
      <c r="AA24" s="131"/>
      <c r="AB24" s="178">
        <f>W24*0.5</f>
        <v>69680.744999999995</v>
      </c>
      <c r="AC24" s="180">
        <f>X24*0.9545</f>
        <v>75195.034502462004</v>
      </c>
      <c r="AD24" s="182">
        <f>Y24</f>
        <v>59795.369976000002</v>
      </c>
      <c r="AE24" s="182">
        <f>X24-AC24</f>
        <v>3584.4673335379921</v>
      </c>
      <c r="AF24" s="174">
        <f t="shared" si="40"/>
        <v>208255.61681199999</v>
      </c>
      <c r="AG24" s="131"/>
      <c r="AH24" s="176">
        <f t="shared" ref="AH24" si="51">+W24-AB24</f>
        <v>69680.744999999995</v>
      </c>
      <c r="AI24" s="172">
        <f t="shared" ref="AI24" si="52">+X24-AC24</f>
        <v>3584.4673335379921</v>
      </c>
      <c r="AJ24" s="172">
        <f t="shared" ref="AJ24" si="53">+Y24-AD24</f>
        <v>0</v>
      </c>
      <c r="AK24" s="172">
        <f t="shared" ref="AK24" si="54">-AE24</f>
        <v>-3584.4673335379921</v>
      </c>
      <c r="AL24" s="172">
        <f t="shared" ref="AL24" si="55">+Z24-AF24</f>
        <v>69680.744999999995</v>
      </c>
      <c r="AM24" s="76"/>
    </row>
    <row r="25" spans="1:39" s="35" customFormat="1" ht="25.5" customHeight="1" x14ac:dyDescent="0.2">
      <c r="A25" s="196"/>
      <c r="B25" s="196"/>
      <c r="C25" s="38"/>
      <c r="D25" s="38"/>
      <c r="E25" s="199"/>
      <c r="F25" s="32"/>
      <c r="G25" s="34"/>
      <c r="H25" s="95"/>
      <c r="I25" s="95"/>
      <c r="J25" s="95"/>
      <c r="K25" s="95"/>
      <c r="L25" s="95"/>
      <c r="M25" s="95"/>
      <c r="N25" s="230"/>
      <c r="O25" s="230"/>
      <c r="P25" s="239"/>
      <c r="Q25" s="234"/>
      <c r="R25" s="95"/>
      <c r="S25" s="193"/>
      <c r="T25" s="42"/>
      <c r="U25" s="193"/>
      <c r="V25" s="57"/>
      <c r="W25" s="191"/>
      <c r="X25" s="191"/>
      <c r="Y25" s="191"/>
      <c r="Z25" s="191"/>
      <c r="AA25" s="131"/>
      <c r="AB25" s="179"/>
      <c r="AC25" s="181"/>
      <c r="AD25" s="183"/>
      <c r="AE25" s="183">
        <f t="shared" ref="AE25" si="56">SUM(X25*0.15)+SUM(W25*0.15)</f>
        <v>0</v>
      </c>
      <c r="AF25" s="175"/>
      <c r="AG25" s="131"/>
      <c r="AH25" s="177"/>
      <c r="AI25" s="173"/>
      <c r="AJ25" s="173"/>
      <c r="AK25" s="173"/>
      <c r="AL25" s="173"/>
      <c r="AM25" s="76"/>
    </row>
    <row r="26" spans="1:39" s="35" customFormat="1" ht="25.5" customHeight="1" x14ac:dyDescent="0.2">
      <c r="A26" s="168" t="s">
        <v>172</v>
      </c>
      <c r="B26" s="168" t="s">
        <v>228</v>
      </c>
      <c r="C26" s="38"/>
      <c r="D26" s="38"/>
      <c r="E26" s="33" t="s">
        <v>229</v>
      </c>
      <c r="F26" s="32"/>
      <c r="G26" s="34"/>
      <c r="H26" s="95"/>
      <c r="I26" s="57"/>
      <c r="J26" s="54" t="s">
        <v>173</v>
      </c>
      <c r="K26" s="130">
        <v>44062</v>
      </c>
      <c r="L26" s="135" t="s">
        <v>66</v>
      </c>
      <c r="M26" s="57"/>
      <c r="N26" s="32">
        <v>2024</v>
      </c>
      <c r="O26" s="32"/>
      <c r="P26" s="157">
        <v>125</v>
      </c>
      <c r="Q26" s="155">
        <v>48000</v>
      </c>
      <c r="R26" s="109"/>
      <c r="S26" s="150">
        <v>75000000</v>
      </c>
      <c r="T26" s="42"/>
      <c r="U26" s="150">
        <f>16106520+2684540+82248</f>
        <v>18873308</v>
      </c>
      <c r="V26" s="57"/>
      <c r="W26" s="45">
        <f t="shared" si="38"/>
        <v>424649.43</v>
      </c>
      <c r="X26" s="45">
        <f t="shared" si="38"/>
        <v>240049.604452</v>
      </c>
      <c r="Y26" s="45">
        <f t="shared" si="38"/>
        <v>182202.91543200001</v>
      </c>
      <c r="Z26" s="45">
        <f t="shared" ref="Z26" si="57">+W26+X26+Y26</f>
        <v>846901.949884</v>
      </c>
      <c r="AA26" s="131"/>
      <c r="AB26" s="156">
        <v>0</v>
      </c>
      <c r="AC26" s="153">
        <v>0</v>
      </c>
      <c r="AD26" s="154">
        <f>Y26</f>
        <v>182202.91543200001</v>
      </c>
      <c r="AE26" s="154"/>
      <c r="AF26" s="47">
        <f>+AB26+AC26+AD26+AE26</f>
        <v>182202.91543200001</v>
      </c>
      <c r="AG26" s="131"/>
      <c r="AH26" s="48">
        <f t="shared" ref="AH26" si="58">+W26-AB26</f>
        <v>424649.43</v>
      </c>
      <c r="AI26" s="49">
        <f t="shared" ref="AI26" si="59">+X26-AC26</f>
        <v>240049.604452</v>
      </c>
      <c r="AJ26" s="49">
        <f t="shared" ref="AJ26" si="60">+Y26-AD26</f>
        <v>0</v>
      </c>
      <c r="AK26" s="49">
        <f>-AE26</f>
        <v>0</v>
      </c>
      <c r="AL26" s="49">
        <f>+Z26-AF26</f>
        <v>664699.03445199993</v>
      </c>
      <c r="AM26" s="76"/>
    </row>
    <row r="27" spans="1:39" s="35" customFormat="1" ht="26.25" customHeight="1" x14ac:dyDescent="0.2">
      <c r="A27" s="168" t="s">
        <v>209</v>
      </c>
      <c r="B27" s="168" t="s">
        <v>231</v>
      </c>
      <c r="C27" s="168"/>
      <c r="D27" s="168"/>
      <c r="E27" s="33" t="s">
        <v>232</v>
      </c>
      <c r="F27" s="38"/>
      <c r="G27" s="40"/>
      <c r="H27" s="41"/>
      <c r="I27" s="42"/>
      <c r="J27" s="38" t="s">
        <v>210</v>
      </c>
      <c r="K27" s="40">
        <v>45035</v>
      </c>
      <c r="L27" s="106"/>
      <c r="M27" s="42"/>
      <c r="N27" s="38">
        <v>2027</v>
      </c>
      <c r="O27" s="38"/>
      <c r="P27" s="69">
        <v>90</v>
      </c>
      <c r="Q27" s="43">
        <v>48800</v>
      </c>
      <c r="R27" s="44"/>
      <c r="S27" s="42">
        <v>21000000</v>
      </c>
      <c r="T27" s="42"/>
      <c r="U27" s="42">
        <f>2444800+615124</f>
        <v>3059924</v>
      </c>
      <c r="V27" s="42"/>
      <c r="W27" s="45">
        <f>U27*1.25/100</f>
        <v>38249.050000000003</v>
      </c>
      <c r="X27" s="45">
        <f>U27*X1/100</f>
        <v>38919.173355999999</v>
      </c>
      <c r="Y27" s="45">
        <f>U27*Y1/100</f>
        <v>29540.506296</v>
      </c>
      <c r="Z27" s="45">
        <f>+W27+X27+Y27</f>
        <v>106708.72965200001</v>
      </c>
      <c r="AA27" s="42"/>
      <c r="AB27" s="46"/>
      <c r="AC27" s="47"/>
      <c r="AD27" s="47">
        <f>Y27</f>
        <v>29540.506296</v>
      </c>
      <c r="AE27" s="47">
        <f>SUM(W27:X27)*0.15</f>
        <v>11575.233503400001</v>
      </c>
      <c r="AF27" s="47">
        <f>+AB27+AC27+AD27+AE27</f>
        <v>41115.739799399998</v>
      </c>
      <c r="AG27" s="42"/>
      <c r="AH27" s="48">
        <f t="shared" ref="AH27" si="61">+W27-AB27</f>
        <v>38249.050000000003</v>
      </c>
      <c r="AI27" s="49">
        <f t="shared" ref="AI27" si="62">+X27-AC27</f>
        <v>38919.173355999999</v>
      </c>
      <c r="AJ27" s="49">
        <f t="shared" ref="AJ27" si="63">+Y27-AD27</f>
        <v>0</v>
      </c>
      <c r="AK27" s="49">
        <f>-AE27</f>
        <v>-11575.233503400001</v>
      </c>
      <c r="AL27" s="49">
        <f>+Z27-AF27</f>
        <v>65592.989852600003</v>
      </c>
    </row>
    <row r="28" spans="1:39" s="35" customFormat="1" ht="26.25" customHeight="1" x14ac:dyDescent="0.2">
      <c r="A28" s="36"/>
      <c r="B28" s="37"/>
      <c r="C28" s="38"/>
      <c r="D28" s="38"/>
      <c r="E28" s="39"/>
      <c r="F28" s="38"/>
      <c r="G28" s="40"/>
      <c r="H28" s="41"/>
      <c r="I28" s="42"/>
      <c r="J28" s="38"/>
      <c r="K28" s="40"/>
      <c r="L28" s="106"/>
      <c r="M28" s="42"/>
      <c r="N28" s="38"/>
      <c r="O28" s="38"/>
      <c r="P28" s="69"/>
      <c r="Q28" s="43"/>
      <c r="R28" s="44"/>
      <c r="S28" s="42"/>
      <c r="T28" s="42"/>
      <c r="U28" s="42"/>
      <c r="V28" s="42"/>
      <c r="W28" s="45"/>
      <c r="X28" s="45"/>
      <c r="Y28" s="45"/>
      <c r="Z28" s="45"/>
      <c r="AA28" s="42"/>
      <c r="AB28" s="46"/>
      <c r="AC28" s="47"/>
      <c r="AD28" s="47"/>
      <c r="AE28" s="47"/>
      <c r="AF28" s="47"/>
      <c r="AG28" s="42"/>
      <c r="AH28" s="48"/>
      <c r="AI28" s="49"/>
      <c r="AJ28" s="49"/>
      <c r="AK28" s="49"/>
      <c r="AL28" s="49"/>
    </row>
    <row r="29" spans="1:39" s="35" customFormat="1" ht="26.25" customHeight="1" x14ac:dyDescent="0.2">
      <c r="A29" s="36" t="s">
        <v>68</v>
      </c>
      <c r="B29" s="37" t="s">
        <v>87</v>
      </c>
      <c r="C29" s="37"/>
      <c r="D29" s="37"/>
      <c r="E29" s="39" t="s">
        <v>141</v>
      </c>
      <c r="F29" s="38">
        <v>472</v>
      </c>
      <c r="G29" s="40">
        <v>42310</v>
      </c>
      <c r="H29" s="73" t="s">
        <v>66</v>
      </c>
      <c r="I29" s="42"/>
      <c r="J29" s="38" t="s">
        <v>88</v>
      </c>
      <c r="K29" s="40">
        <v>42305</v>
      </c>
      <c r="L29" s="104" t="s">
        <v>66</v>
      </c>
      <c r="M29" s="42"/>
      <c r="N29" s="38">
        <v>2017</v>
      </c>
      <c r="O29" s="38">
        <v>2026</v>
      </c>
      <c r="P29" s="69">
        <v>50</v>
      </c>
      <c r="Q29" s="97">
        <v>43843</v>
      </c>
      <c r="R29" s="98"/>
      <c r="S29" s="99">
        <v>102500000</v>
      </c>
      <c r="T29" s="99"/>
      <c r="U29" s="42">
        <f>5770560+6700499</f>
        <v>12471059</v>
      </c>
      <c r="V29" s="42"/>
      <c r="W29" s="45">
        <f>+$U29*1.55/100</f>
        <v>193301.41449999998</v>
      </c>
      <c r="X29" s="45">
        <f t="shared" ref="X29:Y30" si="64">+$U29*X$1/100</f>
        <v>158619.39942100001</v>
      </c>
      <c r="Y29" s="45">
        <f t="shared" si="64"/>
        <v>120395.603586</v>
      </c>
      <c r="Z29" s="45">
        <f>+W29+X29+Y29</f>
        <v>472316.41750699998</v>
      </c>
      <c r="AA29" s="42"/>
      <c r="AB29" s="100">
        <f>W29*0.5</f>
        <v>96650.707249999992</v>
      </c>
      <c r="AC29" s="100">
        <f>X29*0.5</f>
        <v>79309.699710500005</v>
      </c>
      <c r="AD29" s="100">
        <f>Y29</f>
        <v>120395.603586</v>
      </c>
      <c r="AE29" s="47">
        <f>SUM(W29*0.15)+SUM(X29:Y29)*0.1253</f>
        <v>63955.792051777098</v>
      </c>
      <c r="AF29" s="47">
        <f>+AB29+AC29+AD29+AE29</f>
        <v>360311.80259827711</v>
      </c>
      <c r="AG29" s="42"/>
      <c r="AH29" s="48">
        <f t="shared" ref="AH29:AJ29" si="65">+W29-AB29</f>
        <v>96650.707249999992</v>
      </c>
      <c r="AI29" s="49">
        <f t="shared" si="65"/>
        <v>79309.699710500005</v>
      </c>
      <c r="AJ29" s="49">
        <f t="shared" si="65"/>
        <v>0</v>
      </c>
      <c r="AK29" s="49">
        <f>-AE29</f>
        <v>-63955.792051777098</v>
      </c>
      <c r="AL29" s="49">
        <f>+Z29-AF29</f>
        <v>112004.61490872287</v>
      </c>
    </row>
    <row r="30" spans="1:39" s="35" customFormat="1" ht="26.25" customHeight="1" x14ac:dyDescent="0.2">
      <c r="A30" s="36" t="s">
        <v>68</v>
      </c>
      <c r="B30" s="37" t="s">
        <v>169</v>
      </c>
      <c r="C30" s="37"/>
      <c r="D30" s="37"/>
      <c r="E30" s="39" t="s">
        <v>178</v>
      </c>
      <c r="F30" s="38">
        <v>514</v>
      </c>
      <c r="G30" s="40">
        <v>43927</v>
      </c>
      <c r="H30" s="104" t="s">
        <v>66</v>
      </c>
      <c r="I30" s="42"/>
      <c r="J30" s="38" t="s">
        <v>168</v>
      </c>
      <c r="K30" s="40">
        <v>43908</v>
      </c>
      <c r="L30" s="104" t="s">
        <v>66</v>
      </c>
      <c r="M30" s="42"/>
      <c r="N30" s="38">
        <v>2020</v>
      </c>
      <c r="O30" s="38">
        <v>2034</v>
      </c>
      <c r="P30" s="69">
        <v>482</v>
      </c>
      <c r="Q30" s="97">
        <v>45000</v>
      </c>
      <c r="R30" s="98" t="s">
        <v>170</v>
      </c>
      <c r="S30" s="99">
        <v>505000000</v>
      </c>
      <c r="T30" s="99"/>
      <c r="U30" s="42">
        <f>9973735+286000</f>
        <v>10259735</v>
      </c>
      <c r="V30" s="42"/>
      <c r="W30" s="45">
        <f>+$U30*1.55/100</f>
        <v>159025.89249999999</v>
      </c>
      <c r="X30" s="45">
        <f t="shared" si="64"/>
        <v>130493.56946499999</v>
      </c>
      <c r="Y30" s="45">
        <f t="shared" si="64"/>
        <v>99047.481690000001</v>
      </c>
      <c r="Z30" s="45">
        <f>+W30+X30+Y30</f>
        <v>388566.94365499995</v>
      </c>
      <c r="AA30" s="42"/>
      <c r="AB30" s="100">
        <v>0</v>
      </c>
      <c r="AC30" s="100">
        <v>0</v>
      </c>
      <c r="AD30" s="100">
        <f>Y30</f>
        <v>99047.481690000001</v>
      </c>
      <c r="AE30" s="47"/>
      <c r="AF30" s="47">
        <f>+AB30+AC30+AD30+AE30</f>
        <v>99047.481690000001</v>
      </c>
      <c r="AG30" s="42"/>
      <c r="AH30" s="48">
        <f t="shared" ref="AH30" si="66">+W30-AB30</f>
        <v>159025.89249999999</v>
      </c>
      <c r="AI30" s="49">
        <f t="shared" ref="AI30" si="67">+X30-AC30</f>
        <v>130493.56946499999</v>
      </c>
      <c r="AJ30" s="49">
        <f t="shared" ref="AJ30" si="68">+Y30-AD30</f>
        <v>0</v>
      </c>
      <c r="AK30" s="49">
        <f>-AE30</f>
        <v>0</v>
      </c>
      <c r="AL30" s="49">
        <f>+Z30-AF30</f>
        <v>289519.46196499997</v>
      </c>
    </row>
    <row r="31" spans="1:39" s="13" customFormat="1" ht="38.25" customHeight="1" x14ac:dyDescent="0.25">
      <c r="A31" s="138" t="s">
        <v>43</v>
      </c>
      <c r="B31" s="139"/>
      <c r="C31" s="139"/>
      <c r="D31" s="139"/>
      <c r="E31" s="139"/>
      <c r="F31" s="140"/>
      <c r="G31" s="141"/>
      <c r="H31" s="141"/>
      <c r="I31" s="142"/>
      <c r="J31" s="139"/>
      <c r="K31" s="143"/>
      <c r="L31" s="141"/>
      <c r="M31" s="142"/>
      <c r="N31" s="139"/>
      <c r="O31" s="139"/>
      <c r="P31" s="139"/>
      <c r="Q31" s="144"/>
      <c r="R31" s="145"/>
      <c r="S31" s="142"/>
      <c r="T31" s="142"/>
      <c r="U31" s="169"/>
      <c r="V31" s="142"/>
      <c r="W31" s="146"/>
      <c r="X31" s="146"/>
      <c r="Y31" s="146"/>
      <c r="Z31" s="142"/>
      <c r="AA31" s="142"/>
      <c r="AB31" s="146"/>
      <c r="AC31" s="146"/>
      <c r="AD31" s="142"/>
      <c r="AE31" s="147"/>
      <c r="AF31" s="142"/>
      <c r="AG31" s="142"/>
      <c r="AH31" s="142"/>
      <c r="AI31" s="142"/>
      <c r="AJ31" s="142"/>
      <c r="AK31" s="142"/>
      <c r="AL31" s="142"/>
    </row>
    <row r="32" spans="1:39" s="103" customFormat="1" ht="37.15" customHeight="1" x14ac:dyDescent="0.2">
      <c r="A32" s="122" t="s">
        <v>164</v>
      </c>
      <c r="B32" s="39"/>
      <c r="C32" s="39"/>
      <c r="D32" s="39"/>
      <c r="E32" s="39" t="s">
        <v>118</v>
      </c>
      <c r="F32" s="38">
        <v>28256</v>
      </c>
      <c r="G32" s="40">
        <v>42164</v>
      </c>
      <c r="H32" s="73" t="s">
        <v>66</v>
      </c>
      <c r="I32" s="70"/>
      <c r="J32" s="39" t="s">
        <v>72</v>
      </c>
      <c r="K32" s="74">
        <v>42186</v>
      </c>
      <c r="L32" s="104" t="s">
        <v>66</v>
      </c>
      <c r="M32" s="70"/>
      <c r="N32" s="39">
        <v>2017</v>
      </c>
      <c r="O32" s="39">
        <v>2030</v>
      </c>
      <c r="P32" s="39"/>
      <c r="Q32" s="43"/>
      <c r="R32" s="101" t="s">
        <v>78</v>
      </c>
      <c r="S32" s="70"/>
      <c r="T32" s="70"/>
      <c r="U32" s="70">
        <f>11751960+17874</f>
        <v>11769834</v>
      </c>
      <c r="V32" s="70"/>
      <c r="W32" s="45">
        <f t="shared" ref="W32:Y50" si="69">+$U32*W$1/100</f>
        <v>264821.26500000001</v>
      </c>
      <c r="X32" s="45">
        <f t="shared" si="69"/>
        <v>149700.51864600001</v>
      </c>
      <c r="Y32" s="45">
        <f t="shared" si="69"/>
        <v>113625.977436</v>
      </c>
      <c r="Z32" s="45">
        <f t="shared" ref="Z32" si="70">+W32+X32+Y32</f>
        <v>528147.76108199998</v>
      </c>
      <c r="AA32" s="70"/>
      <c r="AB32" s="102">
        <v>0</v>
      </c>
      <c r="AC32" s="102">
        <v>0</v>
      </c>
      <c r="AD32" s="102">
        <f t="shared" ref="AD32:AD39" si="71">Y32</f>
        <v>113625.977436</v>
      </c>
      <c r="AE32" s="102"/>
      <c r="AF32" s="47">
        <f t="shared" ref="AF32:AF50" si="72">+AB32+AC32+AD32+AE32</f>
        <v>113625.977436</v>
      </c>
      <c r="AG32" s="70"/>
      <c r="AH32" s="48">
        <f t="shared" ref="AH32" si="73">+W32-AB32</f>
        <v>264821.26500000001</v>
      </c>
      <c r="AI32" s="49">
        <f t="shared" ref="AI32" si="74">+X32-AC32</f>
        <v>149700.51864600001</v>
      </c>
      <c r="AJ32" s="49">
        <f t="shared" ref="AJ32" si="75">+Y32-AD32</f>
        <v>0</v>
      </c>
      <c r="AK32" s="49">
        <f t="shared" ref="AK32" si="76">-AE32</f>
        <v>0</v>
      </c>
      <c r="AL32" s="49">
        <f t="shared" ref="AL32" si="77">+Z32-AF32</f>
        <v>414521.78364599997</v>
      </c>
    </row>
    <row r="33" spans="1:44" s="103" customFormat="1" ht="40.5" customHeight="1" x14ac:dyDescent="0.2">
      <c r="A33" s="128" t="s">
        <v>133</v>
      </c>
      <c r="B33" s="98" t="s">
        <v>134</v>
      </c>
      <c r="C33" s="39"/>
      <c r="D33" s="39"/>
      <c r="E33" s="39" t="s">
        <v>177</v>
      </c>
      <c r="F33" s="38">
        <v>29215</v>
      </c>
      <c r="G33" s="40">
        <v>43025</v>
      </c>
      <c r="H33" s="73" t="s">
        <v>66</v>
      </c>
      <c r="I33" s="70"/>
      <c r="J33" s="39" t="s">
        <v>132</v>
      </c>
      <c r="K33" s="74">
        <v>43089</v>
      </c>
      <c r="L33" s="104" t="s">
        <v>66</v>
      </c>
      <c r="M33" s="70"/>
      <c r="N33" s="39">
        <v>2018</v>
      </c>
      <c r="O33" s="39">
        <v>2032</v>
      </c>
      <c r="P33" s="39"/>
      <c r="Q33" s="43"/>
      <c r="R33" s="101"/>
      <c r="S33" s="70"/>
      <c r="T33" s="70"/>
      <c r="U33" s="70">
        <f>2815400+6018</f>
        <v>2821418</v>
      </c>
      <c r="V33" s="70"/>
      <c r="W33" s="45">
        <f>(1466880+3250)*W$1/100</f>
        <v>33077.925000000003</v>
      </c>
      <c r="X33" s="45">
        <f t="shared" si="69"/>
        <v>35885.615542</v>
      </c>
      <c r="Y33" s="45">
        <f t="shared" si="69"/>
        <v>27237.969372</v>
      </c>
      <c r="Z33" s="45">
        <f t="shared" ref="Z33:Z34" si="78">+W33+X33+Y33</f>
        <v>96201.509913999995</v>
      </c>
      <c r="AA33" s="70"/>
      <c r="AB33" s="102">
        <f>W33</f>
        <v>33077.925000000003</v>
      </c>
      <c r="AC33" s="47">
        <f>X33</f>
        <v>35885.615542</v>
      </c>
      <c r="AD33" s="102">
        <f t="shared" si="71"/>
        <v>27237.969372</v>
      </c>
      <c r="AE33" s="102"/>
      <c r="AF33" s="47">
        <f t="shared" si="72"/>
        <v>96201.509913999995</v>
      </c>
      <c r="AG33" s="70"/>
      <c r="AH33" s="48">
        <f t="shared" ref="AH33:AH36" si="79">+W33-AB33</f>
        <v>0</v>
      </c>
      <c r="AI33" s="49">
        <f t="shared" ref="AI33:AI34" si="80">+X33-AC33</f>
        <v>0</v>
      </c>
      <c r="AJ33" s="49">
        <f t="shared" ref="AJ33:AJ36" si="81">+Y33-AD33</f>
        <v>0</v>
      </c>
      <c r="AK33" s="49">
        <f t="shared" ref="AK33:AK34" si="82">-AE33</f>
        <v>0</v>
      </c>
      <c r="AL33" s="49">
        <f t="shared" ref="AL33:AL36" si="83">+Z33-AF33</f>
        <v>0</v>
      </c>
    </row>
    <row r="34" spans="1:44" s="103" customFormat="1" ht="40.5" customHeight="1" x14ac:dyDescent="0.2">
      <c r="A34" s="128" t="s">
        <v>188</v>
      </c>
      <c r="B34" s="98" t="s">
        <v>189</v>
      </c>
      <c r="C34" s="39"/>
      <c r="D34" s="39"/>
      <c r="E34" s="39" t="s">
        <v>196</v>
      </c>
      <c r="F34" s="38">
        <v>30577</v>
      </c>
      <c r="G34" s="40">
        <v>44180</v>
      </c>
      <c r="H34" s="73" t="s">
        <v>66</v>
      </c>
      <c r="I34" s="70"/>
      <c r="J34" s="39" t="s">
        <v>190</v>
      </c>
      <c r="K34" s="74">
        <v>44181</v>
      </c>
      <c r="L34" s="104" t="s">
        <v>66</v>
      </c>
      <c r="M34" s="70"/>
      <c r="N34" s="39">
        <v>2022</v>
      </c>
      <c r="O34" s="39">
        <v>2036</v>
      </c>
      <c r="P34" s="39"/>
      <c r="Q34" s="43"/>
      <c r="R34" s="101" t="s">
        <v>191</v>
      </c>
      <c r="S34" s="70"/>
      <c r="T34" s="70"/>
      <c r="U34" s="70">
        <f>776880+1370</f>
        <v>778250</v>
      </c>
      <c r="V34" s="70"/>
      <c r="W34" s="45">
        <f t="shared" si="69"/>
        <v>17510.625</v>
      </c>
      <c r="X34" s="45">
        <f t="shared" si="69"/>
        <v>9898.5617500000008</v>
      </c>
      <c r="Y34" s="45">
        <f t="shared" si="69"/>
        <v>7513.2255000000005</v>
      </c>
      <c r="Z34" s="45">
        <f t="shared" si="78"/>
        <v>34922.412250000001</v>
      </c>
      <c r="AA34" s="70"/>
      <c r="AB34" s="102">
        <v>0</v>
      </c>
      <c r="AC34" s="102">
        <v>0</v>
      </c>
      <c r="AD34" s="102">
        <f t="shared" si="71"/>
        <v>7513.2255000000005</v>
      </c>
      <c r="AE34" s="102"/>
      <c r="AF34" s="47">
        <f t="shared" ref="AF34:AF36" si="84">+AB34+AC34+AD34+AE34</f>
        <v>7513.2255000000005</v>
      </c>
      <c r="AG34" s="70"/>
      <c r="AH34" s="48">
        <f t="shared" si="79"/>
        <v>17510.625</v>
      </c>
      <c r="AI34" s="49">
        <f t="shared" si="80"/>
        <v>9898.5617500000008</v>
      </c>
      <c r="AJ34" s="49">
        <f t="shared" si="81"/>
        <v>0</v>
      </c>
      <c r="AK34" s="49">
        <f t="shared" si="82"/>
        <v>0</v>
      </c>
      <c r="AL34" s="49">
        <f t="shared" si="83"/>
        <v>27409.186750000001</v>
      </c>
    </row>
    <row r="35" spans="1:44" s="103" customFormat="1" ht="40.5" customHeight="1" x14ac:dyDescent="0.2">
      <c r="A35" s="161" t="s">
        <v>217</v>
      </c>
      <c r="B35" s="162" t="s">
        <v>218</v>
      </c>
      <c r="C35" s="158"/>
      <c r="D35" s="158"/>
      <c r="E35" s="160"/>
      <c r="F35" s="38">
        <v>31883</v>
      </c>
      <c r="G35" s="40">
        <v>45265</v>
      </c>
      <c r="H35" s="73" t="s">
        <v>66</v>
      </c>
      <c r="I35" s="70"/>
      <c r="J35" s="39" t="s">
        <v>219</v>
      </c>
      <c r="K35" s="74">
        <v>45266</v>
      </c>
      <c r="L35" s="104" t="s">
        <v>66</v>
      </c>
      <c r="M35" s="70"/>
      <c r="N35" s="39">
        <v>2025</v>
      </c>
      <c r="O35" s="39">
        <v>2044</v>
      </c>
      <c r="P35" s="39"/>
      <c r="Q35" s="43"/>
      <c r="R35" s="101" t="s">
        <v>220</v>
      </c>
      <c r="S35" s="70"/>
      <c r="T35" s="70"/>
      <c r="U35" s="70"/>
      <c r="V35" s="70"/>
      <c r="W35" s="45"/>
      <c r="X35" s="45"/>
      <c r="Y35" s="45"/>
      <c r="Z35" s="45"/>
      <c r="AA35" s="70"/>
      <c r="AB35" s="102"/>
      <c r="AC35" s="102"/>
      <c r="AD35" s="102"/>
      <c r="AE35" s="102"/>
      <c r="AF35" s="47"/>
      <c r="AG35" s="70"/>
      <c r="AH35" s="48"/>
      <c r="AI35" s="49"/>
      <c r="AJ35" s="49"/>
      <c r="AK35" s="49"/>
      <c r="AL35" s="49"/>
    </row>
    <row r="36" spans="1:44" s="103" customFormat="1" ht="40.5" customHeight="1" x14ac:dyDescent="0.2">
      <c r="A36" s="128" t="s">
        <v>174</v>
      </c>
      <c r="B36" s="98" t="s">
        <v>175</v>
      </c>
      <c r="C36" s="39"/>
      <c r="D36" s="39"/>
      <c r="E36" s="39" t="s">
        <v>206</v>
      </c>
      <c r="F36" s="38">
        <v>30649</v>
      </c>
      <c r="G36" s="40">
        <v>44243</v>
      </c>
      <c r="H36" s="73" t="s">
        <v>66</v>
      </c>
      <c r="I36" s="70"/>
      <c r="J36" s="39" t="s">
        <v>176</v>
      </c>
      <c r="K36" s="74">
        <v>44258</v>
      </c>
      <c r="L36" s="104" t="s">
        <v>66</v>
      </c>
      <c r="M36" s="70"/>
      <c r="N36" s="39">
        <v>2023</v>
      </c>
      <c r="O36" s="39">
        <v>2032</v>
      </c>
      <c r="P36" s="39"/>
      <c r="Q36" s="43"/>
      <c r="R36" s="101" t="s">
        <v>187</v>
      </c>
      <c r="S36" s="70"/>
      <c r="T36" s="70"/>
      <c r="U36" s="70">
        <f>1490200+57454</f>
        <v>1547654</v>
      </c>
      <c r="V36" s="70"/>
      <c r="W36" s="45">
        <f t="shared" si="69"/>
        <v>34822.214999999997</v>
      </c>
      <c r="X36" s="45">
        <f t="shared" si="69"/>
        <v>19684.611226000001</v>
      </c>
      <c r="Y36" s="45">
        <f t="shared" si="69"/>
        <v>14941.051716</v>
      </c>
      <c r="Z36" s="45">
        <f t="shared" ref="Z36" si="85">+W36+X36+Y36</f>
        <v>69447.877941999992</v>
      </c>
      <c r="AA36" s="70"/>
      <c r="AB36" s="102">
        <v>0</v>
      </c>
      <c r="AC36" s="47">
        <v>0</v>
      </c>
      <c r="AD36" s="102">
        <f t="shared" si="71"/>
        <v>14941.051716</v>
      </c>
      <c r="AE36" s="102"/>
      <c r="AF36" s="47">
        <f t="shared" si="84"/>
        <v>14941.051716</v>
      </c>
      <c r="AG36" s="70"/>
      <c r="AH36" s="48">
        <f t="shared" si="79"/>
        <v>34822.214999999997</v>
      </c>
      <c r="AI36" s="49"/>
      <c r="AJ36" s="49">
        <f t="shared" si="81"/>
        <v>0</v>
      </c>
      <c r="AK36" s="49"/>
      <c r="AL36" s="49">
        <f t="shared" si="83"/>
        <v>54506.82622599999</v>
      </c>
    </row>
    <row r="37" spans="1:44" s="35" customFormat="1" ht="42.6" customHeight="1" x14ac:dyDescent="0.2">
      <c r="A37" s="36" t="s">
        <v>95</v>
      </c>
      <c r="B37" s="37" t="s">
        <v>96</v>
      </c>
      <c r="C37" s="38"/>
      <c r="D37" s="38"/>
      <c r="E37" s="39"/>
      <c r="F37" s="38">
        <v>28815</v>
      </c>
      <c r="G37" s="40">
        <v>42661</v>
      </c>
      <c r="H37" s="73" t="s">
        <v>66</v>
      </c>
      <c r="I37" s="42"/>
      <c r="J37" s="38" t="s">
        <v>97</v>
      </c>
      <c r="K37" s="40">
        <v>42676</v>
      </c>
      <c r="L37" s="104" t="s">
        <v>66</v>
      </c>
      <c r="M37" s="42"/>
      <c r="N37" s="38">
        <v>2019</v>
      </c>
      <c r="O37" s="38">
        <v>2033</v>
      </c>
      <c r="P37" s="50"/>
      <c r="Q37" s="43"/>
      <c r="R37" s="101" t="s">
        <v>98</v>
      </c>
      <c r="S37" s="42"/>
      <c r="T37" s="42"/>
      <c r="U37" s="42">
        <f>8121000+21143</f>
        <v>8142143</v>
      </c>
      <c r="V37" s="42"/>
      <c r="W37" s="45">
        <f t="shared" si="69"/>
        <v>183198.2175</v>
      </c>
      <c r="X37" s="45">
        <f t="shared" si="69"/>
        <v>103559.916817</v>
      </c>
      <c r="Y37" s="45">
        <f t="shared" si="69"/>
        <v>78604.248522000009</v>
      </c>
      <c r="Z37" s="45">
        <f>+W37+X37+Y37</f>
        <v>365362.38283899997</v>
      </c>
      <c r="AA37" s="42"/>
      <c r="AB37" s="46">
        <v>0</v>
      </c>
      <c r="AC37" s="46">
        <v>0</v>
      </c>
      <c r="AD37" s="46">
        <f t="shared" si="71"/>
        <v>78604.248522000009</v>
      </c>
      <c r="AE37" s="47"/>
      <c r="AF37" s="47">
        <f>+AB37+AC37+AD37+AE37</f>
        <v>78604.248522000009</v>
      </c>
      <c r="AG37" s="42"/>
      <c r="AH37" s="48">
        <f t="shared" ref="AH37:AJ38" si="86">+W37-AB37</f>
        <v>183198.2175</v>
      </c>
      <c r="AI37" s="49">
        <f t="shared" si="86"/>
        <v>103559.916817</v>
      </c>
      <c r="AJ37" s="49">
        <f t="shared" si="86"/>
        <v>0</v>
      </c>
      <c r="AK37" s="49">
        <f>-AE37</f>
        <v>0</v>
      </c>
      <c r="AL37" s="49">
        <f>+Z37-AF37</f>
        <v>286758.13431699993</v>
      </c>
    </row>
    <row r="38" spans="1:44" s="35" customFormat="1" ht="48.6" customHeight="1" x14ac:dyDescent="0.2">
      <c r="A38" s="36" t="s">
        <v>76</v>
      </c>
      <c r="B38" s="37" t="s">
        <v>102</v>
      </c>
      <c r="C38" s="38"/>
      <c r="D38" s="38"/>
      <c r="E38" s="39" t="s">
        <v>140</v>
      </c>
      <c r="F38" s="38">
        <v>28233</v>
      </c>
      <c r="G38" s="40">
        <v>42129</v>
      </c>
      <c r="H38" s="73" t="s">
        <v>66</v>
      </c>
      <c r="I38" s="42"/>
      <c r="J38" s="38" t="s">
        <v>70</v>
      </c>
      <c r="K38" s="40">
        <v>42130</v>
      </c>
      <c r="L38" s="104" t="s">
        <v>66</v>
      </c>
      <c r="M38" s="42"/>
      <c r="N38" s="38">
        <v>2016</v>
      </c>
      <c r="O38" s="38">
        <v>2034</v>
      </c>
      <c r="P38" s="50"/>
      <c r="Q38" s="43"/>
      <c r="R38" s="101" t="s">
        <v>79</v>
      </c>
      <c r="S38" s="42"/>
      <c r="T38" s="42"/>
      <c r="U38" s="42">
        <f>3501440+7253</f>
        <v>3508693</v>
      </c>
      <c r="V38" s="42"/>
      <c r="W38" s="45">
        <f t="shared" si="69"/>
        <v>78945.592499999999</v>
      </c>
      <c r="X38" s="45">
        <f t="shared" si="69"/>
        <v>44627.066267000002</v>
      </c>
      <c r="Y38" s="45">
        <f t="shared" si="69"/>
        <v>33872.922222000001</v>
      </c>
      <c r="Z38" s="45">
        <f>+W38+X38+Y38</f>
        <v>157445.58098900001</v>
      </c>
      <c r="AA38" s="42"/>
      <c r="AB38" s="46">
        <v>0</v>
      </c>
      <c r="AC38" s="46">
        <v>0</v>
      </c>
      <c r="AD38" s="46">
        <f t="shared" si="71"/>
        <v>33872.922222000001</v>
      </c>
      <c r="AE38" s="47"/>
      <c r="AF38" s="47">
        <f>+AB38+AC38+AD38+AE38</f>
        <v>33872.922222000001</v>
      </c>
      <c r="AG38" s="42"/>
      <c r="AH38" s="48">
        <f t="shared" si="86"/>
        <v>78945.592499999999</v>
      </c>
      <c r="AI38" s="49">
        <f t="shared" si="86"/>
        <v>44627.066267000002</v>
      </c>
      <c r="AJ38" s="49">
        <f t="shared" si="86"/>
        <v>0</v>
      </c>
      <c r="AK38" s="49">
        <f>-AE38</f>
        <v>0</v>
      </c>
      <c r="AL38" s="49">
        <f>+Z38-AF38</f>
        <v>123572.65876700002</v>
      </c>
    </row>
    <row r="39" spans="1:44" s="35" customFormat="1" ht="25.5" customHeight="1" x14ac:dyDescent="0.2">
      <c r="A39" s="36" t="s">
        <v>150</v>
      </c>
      <c r="B39" s="37" t="s">
        <v>152</v>
      </c>
      <c r="C39" s="38"/>
      <c r="D39" s="38"/>
      <c r="E39" s="39" t="s">
        <v>197</v>
      </c>
      <c r="F39" s="38">
        <v>29744</v>
      </c>
      <c r="G39" s="40">
        <v>43452</v>
      </c>
      <c r="H39" s="73" t="s">
        <v>66</v>
      </c>
      <c r="I39" s="42"/>
      <c r="J39" s="38" t="s">
        <v>151</v>
      </c>
      <c r="K39" s="40">
        <v>43481</v>
      </c>
      <c r="L39" s="104" t="s">
        <v>66</v>
      </c>
      <c r="M39" s="42"/>
      <c r="N39" s="38">
        <v>2020</v>
      </c>
      <c r="O39" s="38">
        <v>2044</v>
      </c>
      <c r="P39" s="50"/>
      <c r="Q39" s="43"/>
      <c r="R39" s="44"/>
      <c r="S39" s="42"/>
      <c r="T39" s="42"/>
      <c r="U39" s="42">
        <f>2385320+7509</f>
        <v>2392829</v>
      </c>
      <c r="V39" s="42"/>
      <c r="W39" s="45">
        <f t="shared" si="69"/>
        <v>53838.652499999997</v>
      </c>
      <c r="X39" s="45">
        <f t="shared" si="69"/>
        <v>30434.392050999999</v>
      </c>
      <c r="Y39" s="45">
        <f t="shared" si="69"/>
        <v>23100.371166000004</v>
      </c>
      <c r="Z39" s="45">
        <f t="shared" ref="Z39:Z40" si="87">+W39+X39+Y39</f>
        <v>107373.415717</v>
      </c>
      <c r="AA39" s="42"/>
      <c r="AB39" s="46">
        <v>0</v>
      </c>
      <c r="AC39" s="47">
        <v>0</v>
      </c>
      <c r="AD39" s="47">
        <f t="shared" si="71"/>
        <v>23100.371166000004</v>
      </c>
      <c r="AE39" s="47"/>
      <c r="AF39" s="47">
        <f t="shared" ref="AF39:AF40" si="88">+AB39+AC39+AD39+AE39</f>
        <v>23100.371166000004</v>
      </c>
      <c r="AG39" s="42"/>
      <c r="AH39" s="48">
        <f t="shared" ref="AH39:AH40" si="89">+W39-AB39</f>
        <v>53838.652499999997</v>
      </c>
      <c r="AI39" s="49">
        <f t="shared" ref="AI39:AI40" si="90">+X39-AC39</f>
        <v>30434.392050999999</v>
      </c>
      <c r="AJ39" s="49">
        <f t="shared" ref="AJ39:AJ40" si="91">+Y39-AD39</f>
        <v>0</v>
      </c>
      <c r="AK39" s="49">
        <f t="shared" ref="AK39:AK40" si="92">-AE39</f>
        <v>0</v>
      </c>
      <c r="AL39" s="49">
        <f t="shared" ref="AL39:AL40" si="93">+Z39-AF39</f>
        <v>84273.044550999999</v>
      </c>
    </row>
    <row r="40" spans="1:44" s="35" customFormat="1" ht="25.5" customHeight="1" x14ac:dyDescent="0.2">
      <c r="A40" s="36" t="s">
        <v>183</v>
      </c>
      <c r="B40" s="37" t="s">
        <v>185</v>
      </c>
      <c r="C40" s="38"/>
      <c r="D40" s="38"/>
      <c r="E40" s="39" t="s">
        <v>230</v>
      </c>
      <c r="F40" s="38">
        <v>30660</v>
      </c>
      <c r="G40" s="40">
        <v>44250</v>
      </c>
      <c r="H40" s="73" t="s">
        <v>66</v>
      </c>
      <c r="I40" s="42"/>
      <c r="J40" s="38" t="s">
        <v>184</v>
      </c>
      <c r="K40" s="40">
        <v>44307</v>
      </c>
      <c r="L40" s="104" t="s">
        <v>66</v>
      </c>
      <c r="M40" s="42"/>
      <c r="N40" s="38">
        <v>2024</v>
      </c>
      <c r="O40" s="38">
        <v>2040</v>
      </c>
      <c r="P40" s="50"/>
      <c r="Q40" s="43"/>
      <c r="R40" s="44" t="s">
        <v>186</v>
      </c>
      <c r="S40" s="42"/>
      <c r="T40" s="42"/>
      <c r="U40" s="42">
        <f>1336000+6819000+46787</f>
        <v>8201787</v>
      </c>
      <c r="V40" s="42"/>
      <c r="W40" s="45">
        <f t="shared" si="69"/>
        <v>184540.20749999999</v>
      </c>
      <c r="X40" s="45">
        <f t="shared" si="69"/>
        <v>104318.52885300001</v>
      </c>
      <c r="Y40" s="45">
        <f t="shared" si="69"/>
        <v>79180.051697999996</v>
      </c>
      <c r="Z40" s="45">
        <f t="shared" si="87"/>
        <v>368038.78805099998</v>
      </c>
      <c r="AA40" s="42"/>
      <c r="AB40" s="46">
        <v>0</v>
      </c>
      <c r="AC40" s="47">
        <v>4433.17</v>
      </c>
      <c r="AD40" s="71">
        <f>65830.62+451.68</f>
        <v>66282.299999999988</v>
      </c>
      <c r="AE40" s="47"/>
      <c r="AF40" s="47">
        <f t="shared" si="88"/>
        <v>70715.469999999987</v>
      </c>
      <c r="AG40" s="42"/>
      <c r="AH40" s="48">
        <f t="shared" si="89"/>
        <v>184540.20749999999</v>
      </c>
      <c r="AI40" s="49">
        <f t="shared" si="90"/>
        <v>99885.358853000012</v>
      </c>
      <c r="AJ40" s="49">
        <f t="shared" si="91"/>
        <v>12897.751698000007</v>
      </c>
      <c r="AK40" s="49">
        <f t="shared" si="92"/>
        <v>0</v>
      </c>
      <c r="AL40" s="49">
        <f t="shared" si="93"/>
        <v>297323.31805100001</v>
      </c>
    </row>
    <row r="41" spans="1:44" s="35" customFormat="1" ht="51.75" customHeight="1" x14ac:dyDescent="0.2">
      <c r="A41" s="36" t="s">
        <v>135</v>
      </c>
      <c r="B41" s="37" t="s">
        <v>137</v>
      </c>
      <c r="C41" s="38"/>
      <c r="D41" s="38"/>
      <c r="E41" s="39" t="s">
        <v>163</v>
      </c>
      <c r="F41" s="38">
        <v>29634</v>
      </c>
      <c r="G41" s="40">
        <v>43368</v>
      </c>
      <c r="H41" s="73" t="s">
        <v>66</v>
      </c>
      <c r="I41" s="42"/>
      <c r="J41" s="38" t="s">
        <v>136</v>
      </c>
      <c r="K41" s="40">
        <v>43376</v>
      </c>
      <c r="L41" s="104" t="s">
        <v>66</v>
      </c>
      <c r="M41" s="42"/>
      <c r="N41" s="38">
        <v>2019</v>
      </c>
      <c r="O41" s="38">
        <v>2033</v>
      </c>
      <c r="P41" s="50"/>
      <c r="Q41" s="43"/>
      <c r="R41" s="44" t="s">
        <v>138</v>
      </c>
      <c r="S41" s="42"/>
      <c r="T41" s="42"/>
      <c r="U41" s="42">
        <f>2069440+27734</f>
        <v>2097174</v>
      </c>
      <c r="V41" s="42"/>
      <c r="W41" s="45">
        <f t="shared" si="69"/>
        <v>47186.415000000001</v>
      </c>
      <c r="X41" s="45">
        <f t="shared" si="69"/>
        <v>26673.956106000001</v>
      </c>
      <c r="Y41" s="45">
        <f t="shared" si="69"/>
        <v>20246.117795999999</v>
      </c>
      <c r="Z41" s="45">
        <f t="shared" ref="Z41" si="94">+W41+X41+Y41</f>
        <v>94106.488902000012</v>
      </c>
      <c r="AA41" s="42"/>
      <c r="AB41" s="46"/>
      <c r="AC41" s="71">
        <v>0</v>
      </c>
      <c r="AD41" s="71">
        <f>Y41</f>
        <v>20246.117795999999</v>
      </c>
      <c r="AE41" s="47"/>
      <c r="AF41" s="47">
        <f t="shared" si="72"/>
        <v>20246.117795999999</v>
      </c>
      <c r="AG41" s="42"/>
      <c r="AH41" s="48">
        <f t="shared" ref="AH41" si="95">+W41-AB41</f>
        <v>47186.415000000001</v>
      </c>
      <c r="AI41" s="49">
        <f t="shared" ref="AI41" si="96">+X41-AC41</f>
        <v>26673.956106000001</v>
      </c>
      <c r="AJ41" s="49">
        <f t="shared" ref="AJ41" si="97">+Y41-AD41</f>
        <v>0</v>
      </c>
      <c r="AK41" s="49">
        <f t="shared" ref="AK41" si="98">-AE41</f>
        <v>0</v>
      </c>
      <c r="AL41" s="49">
        <f t="shared" ref="AL41" si="99">+Z41-AF41</f>
        <v>73860.371106000006</v>
      </c>
    </row>
    <row r="42" spans="1:44" s="35" customFormat="1" ht="25.5" hidden="1" customHeight="1" x14ac:dyDescent="0.2">
      <c r="A42" s="36" t="s">
        <v>104</v>
      </c>
      <c r="B42" s="37" t="s">
        <v>157</v>
      </c>
      <c r="C42" s="38"/>
      <c r="D42" s="38"/>
      <c r="E42" s="39"/>
      <c r="F42" s="38">
        <v>28852</v>
      </c>
      <c r="G42" s="40">
        <v>42710</v>
      </c>
      <c r="H42" s="73" t="s">
        <v>66</v>
      </c>
      <c r="I42" s="42"/>
      <c r="J42" s="38" t="s">
        <v>103</v>
      </c>
      <c r="K42" s="40">
        <v>42725</v>
      </c>
      <c r="L42" s="104" t="s">
        <v>66</v>
      </c>
      <c r="M42" s="42"/>
      <c r="N42" s="38">
        <v>2017</v>
      </c>
      <c r="O42" s="38">
        <v>2037</v>
      </c>
      <c r="P42" s="50"/>
      <c r="Q42" s="43"/>
      <c r="R42" s="105" t="s">
        <v>107</v>
      </c>
      <c r="S42" s="42"/>
      <c r="T42" s="42"/>
      <c r="U42" s="152"/>
      <c r="V42" s="42"/>
      <c r="W42" s="45"/>
      <c r="X42" s="45"/>
      <c r="Y42" s="45"/>
      <c r="Z42" s="45"/>
      <c r="AA42" s="42"/>
      <c r="AB42" s="46"/>
      <c r="AC42" s="71"/>
      <c r="AD42" s="71"/>
      <c r="AE42" s="47"/>
      <c r="AF42" s="47"/>
      <c r="AG42" s="42"/>
      <c r="AH42" s="48"/>
      <c r="AI42" s="49"/>
      <c r="AJ42" s="49"/>
      <c r="AK42" s="49"/>
      <c r="AL42" s="49"/>
    </row>
    <row r="43" spans="1:44" s="35" customFormat="1" ht="25.5" customHeight="1" x14ac:dyDescent="0.2">
      <c r="A43" s="161" t="s">
        <v>221</v>
      </c>
      <c r="B43" s="162"/>
      <c r="C43" s="158"/>
      <c r="D43" s="158"/>
      <c r="E43" s="160"/>
      <c r="F43" s="53" t="s">
        <v>10</v>
      </c>
      <c r="G43" s="53" t="s">
        <v>10</v>
      </c>
      <c r="H43" s="53" t="s">
        <v>10</v>
      </c>
      <c r="I43" s="57"/>
      <c r="J43" s="53" t="s">
        <v>10</v>
      </c>
      <c r="K43" s="53" t="s">
        <v>10</v>
      </c>
      <c r="L43" s="53" t="s">
        <v>10</v>
      </c>
      <c r="M43" s="57"/>
      <c r="N43" s="53"/>
      <c r="O43" s="53"/>
      <c r="P43" s="61"/>
      <c r="Q43" s="62"/>
      <c r="R43" s="167"/>
      <c r="S43" s="57"/>
      <c r="T43" s="57"/>
      <c r="U43" s="57"/>
      <c r="V43" s="57"/>
      <c r="W43" s="45"/>
      <c r="X43" s="45"/>
      <c r="Y43" s="45"/>
      <c r="Z43" s="45"/>
      <c r="AA43" s="57"/>
      <c r="AB43" s="46"/>
      <c r="AC43" s="47"/>
      <c r="AD43" s="47"/>
      <c r="AE43" s="47"/>
      <c r="AF43" s="47"/>
      <c r="AG43" s="57"/>
      <c r="AH43" s="48"/>
      <c r="AI43" s="49"/>
      <c r="AJ43" s="49"/>
      <c r="AK43" s="49"/>
      <c r="AL43" s="49"/>
    </row>
    <row r="44" spans="1:44" s="35" customFormat="1" ht="65.25" customHeight="1" x14ac:dyDescent="0.2">
      <c r="A44" s="123" t="s">
        <v>115</v>
      </c>
      <c r="B44" s="124" t="s">
        <v>116</v>
      </c>
      <c r="C44" s="112"/>
      <c r="D44" s="112"/>
      <c r="E44" s="125" t="s">
        <v>119</v>
      </c>
      <c r="F44" s="112">
        <v>28336</v>
      </c>
      <c r="G44" s="114">
        <v>42206</v>
      </c>
      <c r="H44" s="56" t="s">
        <v>66</v>
      </c>
      <c r="I44" s="115"/>
      <c r="J44" s="112" t="s">
        <v>117</v>
      </c>
      <c r="K44" s="114">
        <v>42221</v>
      </c>
      <c r="L44" s="60" t="s">
        <v>66</v>
      </c>
      <c r="M44" s="115"/>
      <c r="N44" s="112">
        <v>2017</v>
      </c>
      <c r="O44" s="112">
        <v>2031</v>
      </c>
      <c r="P44" s="116"/>
      <c r="Q44" s="117"/>
      <c r="R44" s="118" t="s">
        <v>205</v>
      </c>
      <c r="S44" s="115"/>
      <c r="T44" s="115"/>
      <c r="U44" s="115">
        <f>7265120+16321</f>
        <v>7281441</v>
      </c>
      <c r="V44" s="115"/>
      <c r="W44" s="45">
        <f t="shared" si="69"/>
        <v>163832.42249999999</v>
      </c>
      <c r="X44" s="45">
        <f t="shared" si="69"/>
        <v>92612.648079000006</v>
      </c>
      <c r="Y44" s="45">
        <f t="shared" si="69"/>
        <v>70295.031413999997</v>
      </c>
      <c r="Z44" s="45">
        <f t="shared" ref="Z44" si="100">+W44+X44+Y44</f>
        <v>326740.10199300002</v>
      </c>
      <c r="AA44" s="115"/>
      <c r="AB44" s="119">
        <v>0</v>
      </c>
      <c r="AC44" s="120">
        <v>0</v>
      </c>
      <c r="AD44" s="120">
        <f>Y44</f>
        <v>70295.031413999997</v>
      </c>
      <c r="AE44" s="121"/>
      <c r="AF44" s="47">
        <f t="shared" si="72"/>
        <v>70295.031413999997</v>
      </c>
      <c r="AG44" s="115"/>
      <c r="AH44" s="48">
        <f t="shared" ref="AH44" si="101">+W44-AB44</f>
        <v>163832.42249999999</v>
      </c>
      <c r="AI44" s="49">
        <f t="shared" ref="AI44" si="102">+X44-AC44</f>
        <v>92612.648079000006</v>
      </c>
      <c r="AJ44" s="49">
        <f t="shared" ref="AJ44" si="103">+Y44-AD44</f>
        <v>0</v>
      </c>
      <c r="AK44" s="49">
        <f t="shared" ref="AK44" si="104">-AE44</f>
        <v>0</v>
      </c>
      <c r="AL44" s="49">
        <f t="shared" ref="AL44" si="105">+Z44-AF44</f>
        <v>256445.07057900002</v>
      </c>
      <c r="AM44" s="113"/>
    </row>
    <row r="45" spans="1:44" s="35" customFormat="1" ht="42.6" customHeight="1" x14ac:dyDescent="0.2">
      <c r="A45" s="36" t="s">
        <v>74</v>
      </c>
      <c r="B45" s="37" t="s">
        <v>75</v>
      </c>
      <c r="C45" s="39"/>
      <c r="D45" s="38"/>
      <c r="E45" s="40" t="s">
        <v>100</v>
      </c>
      <c r="F45" s="38">
        <v>28139</v>
      </c>
      <c r="G45" s="40">
        <v>42045</v>
      </c>
      <c r="H45" s="73" t="s">
        <v>66</v>
      </c>
      <c r="I45" s="37"/>
      <c r="J45" s="38" t="s">
        <v>69</v>
      </c>
      <c r="K45" s="40">
        <v>42053</v>
      </c>
      <c r="L45" s="104" t="s">
        <v>66</v>
      </c>
      <c r="M45" s="42"/>
      <c r="N45" s="38">
        <v>2016</v>
      </c>
      <c r="O45" s="38">
        <v>2030</v>
      </c>
      <c r="P45" s="44"/>
      <c r="Q45" s="42"/>
      <c r="R45" s="101" t="s">
        <v>80</v>
      </c>
      <c r="S45" s="42"/>
      <c r="T45" s="42"/>
      <c r="U45" s="42">
        <f>2562120+12362</f>
        <v>2574482</v>
      </c>
      <c r="V45" s="42"/>
      <c r="W45" s="45">
        <f t="shared" si="69"/>
        <v>57925.845000000001</v>
      </c>
      <c r="X45" s="45">
        <f t="shared" si="69"/>
        <v>32744.836558000003</v>
      </c>
      <c r="Y45" s="45">
        <f t="shared" si="69"/>
        <v>24854.049228000003</v>
      </c>
      <c r="Z45" s="45">
        <f>+W45+X45+Y45</f>
        <v>115524.73078600001</v>
      </c>
      <c r="AA45" s="42"/>
      <c r="AB45" s="46">
        <v>0</v>
      </c>
      <c r="AC45" s="71">
        <v>0</v>
      </c>
      <c r="AD45" s="71">
        <f>Y45</f>
        <v>24854.049228000003</v>
      </c>
      <c r="AE45" s="47"/>
      <c r="AF45" s="47">
        <f t="shared" si="72"/>
        <v>24854.049228000003</v>
      </c>
      <c r="AG45" s="42"/>
      <c r="AH45" s="48">
        <f>+W45-AB45</f>
        <v>57925.845000000001</v>
      </c>
      <c r="AI45" s="49">
        <f>+X45-AC45</f>
        <v>32744.836558000003</v>
      </c>
      <c r="AJ45" s="49">
        <f>+Y45-AD45</f>
        <v>0</v>
      </c>
      <c r="AK45" s="49">
        <f>-AE45</f>
        <v>0</v>
      </c>
      <c r="AL45" s="49">
        <f>+Z45-AF45</f>
        <v>90670.681558000011</v>
      </c>
      <c r="AM45" s="52"/>
      <c r="AN45" s="52"/>
      <c r="AO45" s="52"/>
      <c r="AP45" s="52"/>
      <c r="AQ45" s="52"/>
      <c r="AR45" s="52"/>
    </row>
    <row r="46" spans="1:44" s="35" customFormat="1" ht="25.5" customHeight="1" x14ac:dyDescent="0.2">
      <c r="A46" s="36" t="s">
        <v>24</v>
      </c>
      <c r="B46" s="37" t="s">
        <v>25</v>
      </c>
      <c r="C46" s="38">
        <v>35.043092999999999</v>
      </c>
      <c r="D46" s="38">
        <v>-85.2932019</v>
      </c>
      <c r="E46" s="39" t="s">
        <v>91</v>
      </c>
      <c r="F46" s="38">
        <v>27337</v>
      </c>
      <c r="G46" s="40">
        <v>41247</v>
      </c>
      <c r="H46" s="41" t="s">
        <v>66</v>
      </c>
      <c r="I46" s="42"/>
      <c r="J46" s="38" t="s">
        <v>53</v>
      </c>
      <c r="K46" s="40">
        <v>41262</v>
      </c>
      <c r="L46" s="106" t="s">
        <v>66</v>
      </c>
      <c r="M46" s="42"/>
      <c r="N46" s="38">
        <v>2013</v>
      </c>
      <c r="O46" s="38">
        <v>2024</v>
      </c>
      <c r="P46" s="50"/>
      <c r="Q46" s="43"/>
      <c r="R46" s="44"/>
      <c r="S46" s="42"/>
      <c r="T46" s="42"/>
      <c r="U46" s="42">
        <f>841400+4323</f>
        <v>845723</v>
      </c>
      <c r="V46" s="42"/>
      <c r="W46" s="45">
        <f t="shared" si="69"/>
        <v>19028.767500000002</v>
      </c>
      <c r="X46" s="45">
        <f t="shared" si="69"/>
        <v>10756.750837000001</v>
      </c>
      <c r="Y46" s="45">
        <f t="shared" si="69"/>
        <v>8164.6098420000008</v>
      </c>
      <c r="Z46" s="45">
        <f t="shared" ref="Z46:Z48" si="106">+W46+X46+Y46</f>
        <v>37950.128178999999</v>
      </c>
      <c r="AA46" s="42"/>
      <c r="AB46" s="46">
        <v>5790.05</v>
      </c>
      <c r="AC46" s="47">
        <f>6142.63</f>
        <v>6142.63</v>
      </c>
      <c r="AD46" s="47">
        <f>5472.31+41.73</f>
        <v>5514.04</v>
      </c>
      <c r="AE46" s="47"/>
      <c r="AF46" s="47">
        <f t="shared" si="72"/>
        <v>17446.72</v>
      </c>
      <c r="AG46" s="42"/>
      <c r="AH46" s="48">
        <f t="shared" ref="AH46:AJ48" si="107">+W46-AB46</f>
        <v>13238.717500000002</v>
      </c>
      <c r="AI46" s="49">
        <f t="shared" si="107"/>
        <v>4614.1208370000013</v>
      </c>
      <c r="AJ46" s="49">
        <f>ROUND(+Y46-AD46,0)</f>
        <v>2651</v>
      </c>
      <c r="AK46" s="49">
        <f t="shared" ref="AK46:AK48" si="108">-AE46</f>
        <v>0</v>
      </c>
      <c r="AL46" s="49">
        <f t="shared" ref="AL46:AL48" si="109">+Z46-AF46</f>
        <v>20503.408178999998</v>
      </c>
    </row>
    <row r="47" spans="1:44" s="35" customFormat="1" ht="25.5" customHeight="1" x14ac:dyDescent="0.2">
      <c r="A47" s="36" t="s">
        <v>22</v>
      </c>
      <c r="B47" s="37" t="s">
        <v>23</v>
      </c>
      <c r="C47" s="72"/>
      <c r="D47" s="72"/>
      <c r="E47" s="39" t="s">
        <v>90</v>
      </c>
      <c r="F47" s="38">
        <v>27336</v>
      </c>
      <c r="G47" s="40">
        <v>41247</v>
      </c>
      <c r="H47" s="41" t="s">
        <v>66</v>
      </c>
      <c r="I47" s="42"/>
      <c r="J47" s="38" t="s">
        <v>52</v>
      </c>
      <c r="K47" s="40">
        <v>41262</v>
      </c>
      <c r="L47" s="106" t="s">
        <v>66</v>
      </c>
      <c r="M47" s="42"/>
      <c r="N47" s="38">
        <v>2013</v>
      </c>
      <c r="O47" s="38">
        <v>2024</v>
      </c>
      <c r="P47" s="50"/>
      <c r="Q47" s="43"/>
      <c r="R47" s="44"/>
      <c r="S47" s="42"/>
      <c r="T47" s="42"/>
      <c r="U47" s="42">
        <f>172560+644800+2782</f>
        <v>820142</v>
      </c>
      <c r="V47" s="42"/>
      <c r="W47" s="45">
        <f t="shared" si="69"/>
        <v>18453.195</v>
      </c>
      <c r="X47" s="45">
        <f t="shared" si="69"/>
        <v>10431.386097999999</v>
      </c>
      <c r="Y47" s="45">
        <f t="shared" si="69"/>
        <v>7917.6508680000006</v>
      </c>
      <c r="Z47" s="45">
        <f t="shared" si="106"/>
        <v>36802.231965999999</v>
      </c>
      <c r="AA47" s="42"/>
      <c r="AB47" s="46">
        <f>593.87+9553.72</f>
        <v>10147.59</v>
      </c>
      <c r="AC47" s="47">
        <f>(630.03+10135.5)*X1/(X1+Y1)</f>
        <v>6120.1795052071693</v>
      </c>
      <c r="AD47" s="47">
        <f>1394.03+1851.4+26.85+(630.03+10135.5)*Y1/(X1+Y1)</f>
        <v>7917.6304947928311</v>
      </c>
      <c r="AE47" s="47"/>
      <c r="AF47" s="47">
        <f t="shared" si="72"/>
        <v>24185.4</v>
      </c>
      <c r="AG47" s="42"/>
      <c r="AH47" s="48">
        <f t="shared" si="107"/>
        <v>8305.6049999999996</v>
      </c>
      <c r="AI47" s="49">
        <f t="shared" si="107"/>
        <v>4311.2065927928297</v>
      </c>
      <c r="AJ47" s="49">
        <f>ROUND(+Y47-AD47,0)</f>
        <v>0</v>
      </c>
      <c r="AK47" s="49">
        <f t="shared" si="108"/>
        <v>0</v>
      </c>
      <c r="AL47" s="49">
        <f t="shared" si="109"/>
        <v>12616.831965999998</v>
      </c>
    </row>
    <row r="48" spans="1:44" s="35" customFormat="1" ht="26.25" customHeight="1" x14ac:dyDescent="0.2">
      <c r="A48" s="36" t="s">
        <v>26</v>
      </c>
      <c r="B48" s="37" t="s">
        <v>27</v>
      </c>
      <c r="C48" s="38">
        <v>35.054606679999999</v>
      </c>
      <c r="D48" s="38">
        <v>-85.307281329999995</v>
      </c>
      <c r="E48" s="39" t="s">
        <v>101</v>
      </c>
      <c r="F48" s="38">
        <v>23253</v>
      </c>
      <c r="G48" s="40">
        <v>40513</v>
      </c>
      <c r="H48" s="41" t="s">
        <v>66</v>
      </c>
      <c r="I48" s="42"/>
      <c r="J48" s="38" t="s">
        <v>45</v>
      </c>
      <c r="K48" s="40">
        <v>37349</v>
      </c>
      <c r="L48" s="106" t="s">
        <v>66</v>
      </c>
      <c r="M48" s="42"/>
      <c r="N48" s="38">
        <v>2012</v>
      </c>
      <c r="O48" s="38">
        <v>2025</v>
      </c>
      <c r="P48" s="50"/>
      <c r="Q48" s="43"/>
      <c r="R48" s="44"/>
      <c r="S48" s="42"/>
      <c r="T48" s="42"/>
      <c r="U48" s="42">
        <v>5316680</v>
      </c>
      <c r="V48" s="42"/>
      <c r="W48" s="45">
        <f t="shared" si="69"/>
        <v>119625.3</v>
      </c>
      <c r="X48" s="45">
        <f t="shared" si="69"/>
        <v>67622.852920000005</v>
      </c>
      <c r="Y48" s="45">
        <f t="shared" si="69"/>
        <v>51327.228720000006</v>
      </c>
      <c r="Z48" s="45">
        <f t="shared" si="106"/>
        <v>238575.38164000004</v>
      </c>
      <c r="AA48" s="42"/>
      <c r="AB48" s="102">
        <f>W48*0.6</f>
        <v>71775.179999999993</v>
      </c>
      <c r="AC48" s="102">
        <f>X48*0.6</f>
        <v>40573.711752000003</v>
      </c>
      <c r="AD48" s="102">
        <f>Y48*0.6</f>
        <v>30796.337232000002</v>
      </c>
      <c r="AE48" s="47"/>
      <c r="AF48" s="47">
        <f t="shared" si="72"/>
        <v>143145.22898399999</v>
      </c>
      <c r="AG48" s="42"/>
      <c r="AH48" s="48">
        <f t="shared" si="107"/>
        <v>47850.12000000001</v>
      </c>
      <c r="AI48" s="49">
        <f t="shared" si="107"/>
        <v>27049.141168000002</v>
      </c>
      <c r="AJ48" s="49">
        <f t="shared" si="107"/>
        <v>20530.891488000005</v>
      </c>
      <c r="AK48" s="49">
        <f t="shared" si="108"/>
        <v>0</v>
      </c>
      <c r="AL48" s="49">
        <f t="shared" si="109"/>
        <v>95430.152656000049</v>
      </c>
    </row>
    <row r="49" spans="1:41" s="35" customFormat="1" ht="26.25" customHeight="1" x14ac:dyDescent="0.2">
      <c r="A49" s="80" t="s">
        <v>109</v>
      </c>
      <c r="B49" s="37"/>
      <c r="C49" s="38"/>
      <c r="D49" s="38"/>
      <c r="E49" s="39"/>
      <c r="F49" s="38"/>
      <c r="G49" s="40"/>
      <c r="H49" s="41"/>
      <c r="I49" s="42"/>
      <c r="J49" s="38"/>
      <c r="K49" s="40"/>
      <c r="L49" s="106"/>
      <c r="M49" s="42"/>
      <c r="N49" s="38"/>
      <c r="O49" s="38"/>
      <c r="P49" s="50"/>
      <c r="Q49" s="43"/>
      <c r="R49" s="44"/>
      <c r="S49" s="42"/>
      <c r="T49" s="42"/>
      <c r="U49" s="42"/>
      <c r="V49" s="42"/>
      <c r="W49" s="45"/>
      <c r="X49" s="45"/>
      <c r="Y49" s="45"/>
      <c r="Z49" s="45"/>
      <c r="AA49" s="42"/>
      <c r="AB49" s="46"/>
      <c r="AC49" s="47"/>
      <c r="AD49" s="47"/>
      <c r="AE49" s="47"/>
      <c r="AF49" s="47"/>
      <c r="AG49" s="42"/>
      <c r="AH49" s="48"/>
      <c r="AI49" s="49"/>
      <c r="AJ49" s="49"/>
      <c r="AK49" s="49"/>
      <c r="AL49" s="49"/>
    </row>
    <row r="50" spans="1:41" s="35" customFormat="1" ht="36" x14ac:dyDescent="0.2">
      <c r="A50" s="137" t="s">
        <v>145</v>
      </c>
      <c r="B50" s="37" t="s">
        <v>106</v>
      </c>
      <c r="C50" s="38"/>
      <c r="D50" s="38"/>
      <c r="E50" s="39" t="s">
        <v>147</v>
      </c>
      <c r="F50" s="38">
        <v>28835</v>
      </c>
      <c r="G50" s="40">
        <v>42682</v>
      </c>
      <c r="H50" s="73" t="s">
        <v>66</v>
      </c>
      <c r="I50" s="42"/>
      <c r="J50" s="38" t="s">
        <v>105</v>
      </c>
      <c r="K50" s="107">
        <v>42711</v>
      </c>
      <c r="L50" s="108" t="s">
        <v>66</v>
      </c>
      <c r="M50" s="42"/>
      <c r="N50" s="38">
        <v>2018</v>
      </c>
      <c r="O50" s="38">
        <v>2028</v>
      </c>
      <c r="P50" s="50"/>
      <c r="Q50" s="43"/>
      <c r="R50" s="105" t="s">
        <v>110</v>
      </c>
      <c r="S50" s="42"/>
      <c r="T50" s="42"/>
      <c r="U50" s="42">
        <f>2787720+5245</f>
        <v>2792965</v>
      </c>
      <c r="V50" s="42"/>
      <c r="W50" s="45">
        <f t="shared" si="69"/>
        <v>62841.712500000001</v>
      </c>
      <c r="X50" s="45">
        <f t="shared" si="69"/>
        <v>35523.721835000004</v>
      </c>
      <c r="Y50" s="45">
        <f t="shared" si="69"/>
        <v>26963.284110000004</v>
      </c>
      <c r="Z50" s="45">
        <f t="shared" ref="Z50" si="110">+W50+X50+Y50</f>
        <v>125328.71844500001</v>
      </c>
      <c r="AA50" s="42"/>
      <c r="AB50" s="46"/>
      <c r="AC50" s="47"/>
      <c r="AD50" s="47">
        <v>51000</v>
      </c>
      <c r="AE50" s="47"/>
      <c r="AF50" s="47">
        <f t="shared" si="72"/>
        <v>51000</v>
      </c>
      <c r="AG50" s="42"/>
      <c r="AH50" s="48">
        <f t="shared" ref="AH50" si="111">+W50-AB50</f>
        <v>62841.712500000001</v>
      </c>
      <c r="AI50" s="49">
        <f t="shared" ref="AI50" si="112">+X50-AC50</f>
        <v>35523.721835000004</v>
      </c>
      <c r="AJ50" s="49">
        <f t="shared" ref="AJ50" si="113">+Y50-AD50</f>
        <v>-24036.715889999996</v>
      </c>
      <c r="AK50" s="49">
        <f t="shared" ref="AK50" si="114">-AE50</f>
        <v>0</v>
      </c>
      <c r="AL50" s="49">
        <f t="shared" ref="AL50" si="115">+Z50-AF50</f>
        <v>74328.718445000006</v>
      </c>
    </row>
    <row r="51" spans="1:41" s="35" customFormat="1" ht="4.5" customHeight="1" x14ac:dyDescent="0.2">
      <c r="A51" s="51"/>
      <c r="B51" s="52"/>
      <c r="C51" s="53"/>
      <c r="D51" s="53"/>
      <c r="E51" s="54"/>
      <c r="F51" s="53"/>
      <c r="G51" s="55"/>
      <c r="H51" s="56"/>
      <c r="I51" s="57"/>
      <c r="J51" s="53"/>
      <c r="K51" s="55"/>
      <c r="L51" s="60"/>
      <c r="M51" s="57"/>
      <c r="N51" s="53"/>
      <c r="O51" s="53"/>
      <c r="P51" s="61"/>
      <c r="Q51" s="62"/>
      <c r="R51" s="109"/>
      <c r="S51" s="57"/>
      <c r="T51" s="57"/>
      <c r="U51" s="57"/>
      <c r="V51" s="57"/>
      <c r="W51" s="65"/>
      <c r="X51" s="65"/>
      <c r="Y51" s="65"/>
      <c r="Z51" s="65"/>
      <c r="AA51" s="57"/>
      <c r="AB51" s="67"/>
      <c r="AC51" s="110"/>
      <c r="AD51" s="110"/>
      <c r="AE51" s="110"/>
      <c r="AF51" s="110"/>
      <c r="AG51" s="57"/>
      <c r="AH51" s="68"/>
      <c r="AI51" s="111"/>
      <c r="AJ51" s="111"/>
      <c r="AK51" s="111"/>
      <c r="AL51" s="111"/>
    </row>
    <row r="52" spans="1:41" ht="25.5" customHeight="1" thickBot="1" x14ac:dyDescent="0.25">
      <c r="R52" s="24"/>
      <c r="W52" s="20">
        <f>SUM(W5:W50)</f>
        <v>20917244.134500001</v>
      </c>
      <c r="X52" s="20">
        <f>SUM(X5:X50)</f>
        <v>11422169.297315</v>
      </c>
      <c r="Y52" s="20">
        <f>SUM(Y5:Y50)</f>
        <v>8669677.0504640006</v>
      </c>
      <c r="Z52" s="20">
        <f>SUM(Z5:Z50)</f>
        <v>41009090.482279018</v>
      </c>
      <c r="AB52" s="19">
        <f>SUM(AB5:AB50)</f>
        <v>4074440.6511749998</v>
      </c>
      <c r="AC52" s="19">
        <f>SUM(AC5:AC50)</f>
        <v>1933288.9269060385</v>
      </c>
      <c r="AD52" s="19">
        <f>SUM(AD5:AD50)</f>
        <v>7143800.2053417927</v>
      </c>
      <c r="AE52" s="19">
        <f>SUM(AE5:AE50)</f>
        <v>794922.69456056913</v>
      </c>
      <c r="AF52" s="19">
        <f>SUM(AF5:AF50)</f>
        <v>13946452.477983408</v>
      </c>
      <c r="AH52" s="17">
        <f>SUM(AH5:AH50)</f>
        <v>16842803.483324997</v>
      </c>
      <c r="AI52" s="17">
        <f>SUM(AI5:AI50)</f>
        <v>9469195.7591829598</v>
      </c>
      <c r="AJ52" s="17">
        <f>SUM(AJ5:AJ50)</f>
        <v>1525877.2549070001</v>
      </c>
      <c r="AK52" s="17">
        <f>SUM(AK5:AK50)</f>
        <v>-794922.69456056913</v>
      </c>
      <c r="AL52" s="17">
        <f>SUM(AL5:AL50)</f>
        <v>27062638.004295591</v>
      </c>
      <c r="AM52" s="1"/>
      <c r="AN52" s="1">
        <f t="shared" ref="AN52" si="116">+X52-AC52-AI52</f>
        <v>19684.611226001754</v>
      </c>
      <c r="AO52" s="1"/>
    </row>
    <row r="53" spans="1:41" ht="30.6" customHeight="1" thickTop="1" x14ac:dyDescent="0.2">
      <c r="A53" s="129" t="s">
        <v>233</v>
      </c>
      <c r="B53" s="31"/>
      <c r="C53" s="31"/>
      <c r="D53" s="31"/>
      <c r="E53" s="31"/>
      <c r="F53" s="31"/>
      <c r="G53" s="31"/>
      <c r="H53" s="31"/>
      <c r="I53" s="31"/>
      <c r="J53" s="31"/>
      <c r="K53" s="31"/>
      <c r="L53" s="31"/>
      <c r="M53" s="30"/>
      <c r="N53" s="29"/>
      <c r="O53" s="29"/>
      <c r="R53" s="24"/>
    </row>
    <row r="54" spans="1:41" ht="30.6" customHeight="1" x14ac:dyDescent="0.2">
      <c r="A54" s="148"/>
      <c r="E54"/>
      <c r="I54"/>
      <c r="M54" s="30"/>
      <c r="N54" s="29"/>
      <c r="O54" s="29"/>
      <c r="R54" s="24"/>
      <c r="AB54" s="228"/>
      <c r="AC54" s="228"/>
      <c r="AD54" s="228"/>
      <c r="AE54" s="228"/>
      <c r="AF54" s="228"/>
    </row>
    <row r="55" spans="1:41" ht="15" customHeight="1" x14ac:dyDescent="0.2">
      <c r="R55" s="24"/>
    </row>
    <row r="56" spans="1:41" ht="15" customHeight="1" thickBot="1" x14ac:dyDescent="0.25">
      <c r="F56" s="200" t="s">
        <v>40</v>
      </c>
      <c r="G56" s="200"/>
      <c r="H56" s="200"/>
      <c r="I56" s="28"/>
      <c r="J56" s="200" t="s">
        <v>41</v>
      </c>
      <c r="K56" s="200"/>
      <c r="L56" s="200"/>
      <c r="M56" s="28"/>
      <c r="V56" s="4"/>
      <c r="W56" s="126" t="s">
        <v>127</v>
      </c>
      <c r="X56" s="6"/>
      <c r="Y56" s="6"/>
      <c r="Z56" s="6"/>
      <c r="AA56" s="4"/>
      <c r="AB56" s="201" t="s">
        <v>158</v>
      </c>
      <c r="AC56" s="202"/>
      <c r="AD56" s="202"/>
      <c r="AE56" s="202"/>
      <c r="AF56" s="203"/>
      <c r="AG56" s="4"/>
      <c r="AH56" s="204" t="s">
        <v>128</v>
      </c>
      <c r="AI56" s="205"/>
      <c r="AJ56" s="205"/>
      <c r="AK56" s="205"/>
      <c r="AL56" s="206"/>
    </row>
    <row r="57" spans="1:41" s="13" customFormat="1" ht="24" customHeight="1" x14ac:dyDescent="0.2">
      <c r="A57" s="7" t="s">
        <v>0</v>
      </c>
      <c r="B57" s="7" t="s">
        <v>3</v>
      </c>
      <c r="C57" s="18" t="s">
        <v>8</v>
      </c>
      <c r="D57" s="18" t="s">
        <v>9</v>
      </c>
      <c r="E57" s="7" t="s">
        <v>56</v>
      </c>
      <c r="F57" s="7" t="s">
        <v>51</v>
      </c>
      <c r="G57" s="12" t="s">
        <v>5</v>
      </c>
      <c r="H57" s="12" t="s">
        <v>65</v>
      </c>
      <c r="I57" s="8"/>
      <c r="J57" s="7" t="s">
        <v>51</v>
      </c>
      <c r="K57" s="12" t="s">
        <v>5</v>
      </c>
      <c r="L57" s="12" t="s">
        <v>65</v>
      </c>
      <c r="M57" s="8"/>
      <c r="N57" s="7" t="s">
        <v>6</v>
      </c>
      <c r="O57" s="7" t="s">
        <v>7</v>
      </c>
      <c r="P57" s="7" t="s">
        <v>1</v>
      </c>
      <c r="Q57" s="23" t="s">
        <v>2</v>
      </c>
      <c r="R57" s="7" t="s">
        <v>77</v>
      </c>
      <c r="S57" s="8" t="s">
        <v>108</v>
      </c>
      <c r="T57" s="8" t="s">
        <v>4</v>
      </c>
      <c r="U57" s="8" t="s">
        <v>126</v>
      </c>
      <c r="V57" s="8"/>
      <c r="W57" s="10" t="s">
        <v>30</v>
      </c>
      <c r="X57" s="10" t="s">
        <v>31</v>
      </c>
      <c r="Y57" s="10" t="s">
        <v>32</v>
      </c>
      <c r="Z57" s="9" t="s">
        <v>159</v>
      </c>
      <c r="AA57" s="8"/>
      <c r="AB57" s="16" t="s">
        <v>225</v>
      </c>
      <c r="AC57" s="16" t="s">
        <v>226</v>
      </c>
      <c r="AD57" s="16" t="s">
        <v>227</v>
      </c>
      <c r="AE57" s="16" t="s">
        <v>156</v>
      </c>
      <c r="AF57" s="16" t="s">
        <v>129</v>
      </c>
      <c r="AG57" s="8"/>
      <c r="AH57" s="11" t="s">
        <v>36</v>
      </c>
      <c r="AI57" s="11" t="s">
        <v>37</v>
      </c>
      <c r="AJ57" s="11" t="s">
        <v>38</v>
      </c>
      <c r="AK57" s="11" t="s">
        <v>156</v>
      </c>
      <c r="AL57" s="11" t="s">
        <v>160</v>
      </c>
    </row>
    <row r="58" spans="1:41" ht="15" customHeight="1" x14ac:dyDescent="0.2">
      <c r="R58" s="24"/>
    </row>
    <row r="59" spans="1:41" ht="28.5" customHeight="1" x14ac:dyDescent="0.2">
      <c r="A59" s="80" t="s">
        <v>122</v>
      </c>
      <c r="R59" s="24"/>
    </row>
    <row r="60" spans="1:41" s="35" customFormat="1" ht="25.5" customHeight="1" x14ac:dyDescent="0.2">
      <c r="A60" s="36" t="s">
        <v>123</v>
      </c>
      <c r="B60" s="37"/>
      <c r="C60" s="72"/>
      <c r="D60" s="72"/>
      <c r="E60" s="39"/>
      <c r="F60" s="38">
        <v>27143</v>
      </c>
      <c r="G60" s="40">
        <v>41079</v>
      </c>
      <c r="H60" s="163" t="s">
        <v>66</v>
      </c>
      <c r="I60" s="42"/>
      <c r="J60" s="38" t="s">
        <v>130</v>
      </c>
      <c r="K60" s="40">
        <v>41066</v>
      </c>
      <c r="L60" s="104" t="s">
        <v>66</v>
      </c>
      <c r="M60" s="42"/>
      <c r="N60" s="38">
        <v>2013</v>
      </c>
      <c r="O60" s="38">
        <v>2032</v>
      </c>
      <c r="P60" s="43" t="s">
        <v>10</v>
      </c>
      <c r="Q60" s="43" t="s">
        <v>10</v>
      </c>
      <c r="R60" s="44" t="s">
        <v>125</v>
      </c>
      <c r="S60" s="43">
        <v>500000000</v>
      </c>
      <c r="T60" s="42"/>
      <c r="U60" s="42">
        <v>44592328</v>
      </c>
      <c r="V60" s="42"/>
      <c r="W60" s="45">
        <f>+$U60*W$1/100</f>
        <v>1003327.38</v>
      </c>
      <c r="X60" s="45">
        <f t="shared" ref="W60:Y64" si="117">+$U60*X$1/100</f>
        <v>567169.81983199995</v>
      </c>
      <c r="Y60" s="45">
        <f t="shared" si="117"/>
        <v>430494.33451200003</v>
      </c>
      <c r="Z60" s="45">
        <f t="shared" ref="Z60" si="118">+W60+X60+Y60</f>
        <v>2000991.5343439998</v>
      </c>
      <c r="AA60" s="42"/>
      <c r="AB60" s="47">
        <f>ROUND(+(685500*0.02309)+(U60-685500)*0.004029,0)</f>
        <v>192729</v>
      </c>
      <c r="AC60" s="47">
        <f>ROUND(+(685500*(0.013926-0.004075))+(U60)*0.003323,0)</f>
        <v>154933</v>
      </c>
      <c r="AD60" s="47">
        <f>+U60*$Y$1/100</f>
        <v>430494.33451200003</v>
      </c>
      <c r="AE60" s="47">
        <f>ROUND((AI60+AJ60)*0.05+(AH60*0.05),0)</f>
        <v>61142</v>
      </c>
      <c r="AF60" s="47">
        <f>SUM(AB60:AE60)</f>
        <v>839298.33451199997</v>
      </c>
      <c r="AG60" s="42"/>
      <c r="AH60" s="48">
        <f t="shared" ref="AH60" si="119">+W60-AB60</f>
        <v>810598.38</v>
      </c>
      <c r="AI60" s="49">
        <f t="shared" ref="AI60" si="120">+X60-AC60</f>
        <v>412236.81983199995</v>
      </c>
      <c r="AJ60" s="49">
        <f t="shared" ref="AJ60" si="121">+Y60-AD60</f>
        <v>0</v>
      </c>
      <c r="AK60" s="49">
        <f t="shared" ref="AK60" si="122">-AE60</f>
        <v>-61142</v>
      </c>
      <c r="AL60" s="49">
        <f t="shared" ref="AL60" si="123">+Z60-AF60</f>
        <v>1161693.1998319998</v>
      </c>
    </row>
    <row r="61" spans="1:41" s="35" customFormat="1" ht="39.75" customHeight="1" x14ac:dyDescent="0.2">
      <c r="A61" s="36" t="s">
        <v>124</v>
      </c>
      <c r="B61" s="37"/>
      <c r="C61" s="72"/>
      <c r="D61" s="72"/>
      <c r="E61" s="39"/>
      <c r="F61" s="38">
        <v>29336</v>
      </c>
      <c r="G61" s="40">
        <v>43151</v>
      </c>
      <c r="H61" s="73" t="s">
        <v>66</v>
      </c>
      <c r="I61" s="42"/>
      <c r="J61" s="38" t="s">
        <v>131</v>
      </c>
      <c r="K61" s="40">
        <v>43166</v>
      </c>
      <c r="L61" s="104" t="s">
        <v>66</v>
      </c>
      <c r="M61" s="42"/>
      <c r="N61" s="38">
        <v>2018</v>
      </c>
      <c r="O61" s="38">
        <v>2032</v>
      </c>
      <c r="P61" s="127">
        <v>92</v>
      </c>
      <c r="Q61" s="43" t="s">
        <v>10</v>
      </c>
      <c r="R61" s="44" t="s">
        <v>198</v>
      </c>
      <c r="S61" s="43" t="s">
        <v>10</v>
      </c>
      <c r="T61" s="42"/>
      <c r="U61" s="42">
        <v>27864930</v>
      </c>
      <c r="V61" s="42"/>
      <c r="W61" s="45">
        <f t="shared" si="117"/>
        <v>626960.92500000005</v>
      </c>
      <c r="X61" s="45">
        <f t="shared" si="117"/>
        <v>354414.04466999997</v>
      </c>
      <c r="Y61" s="45">
        <f t="shared" si="117"/>
        <v>269008.03422000003</v>
      </c>
      <c r="Z61" s="45">
        <f t="shared" ref="Z61" si="124">+W61+X61+Y61</f>
        <v>1250383.0038900001</v>
      </c>
      <c r="AA61" s="42"/>
      <c r="AB61" s="47">
        <f>ROUND(+(2231247*0.02309)+(U61-2231247)*$W$1/100*0.4,0)</f>
        <v>282223</v>
      </c>
      <c r="AC61" s="47">
        <f>ROUND(+(2231247*(0.015149-0.004223))+(U61)*0.003323,0)</f>
        <v>116974</v>
      </c>
      <c r="AD61" s="47">
        <f>+U61*$Y$1/100</f>
        <v>269008.03422000003</v>
      </c>
      <c r="AE61" s="47">
        <f>ROUND((AI61+AJ61)*0.05+(AH61*0.05),0)</f>
        <v>29109</v>
      </c>
      <c r="AF61" s="47">
        <f>SUM(AB61:AE61)</f>
        <v>697314.03422000003</v>
      </c>
      <c r="AG61" s="42"/>
      <c r="AH61" s="48">
        <f t="shared" ref="AH61" si="125">+W61-AB61</f>
        <v>344737.92500000005</v>
      </c>
      <c r="AI61" s="49">
        <f t="shared" ref="AI61" si="126">+X61-AC61</f>
        <v>237440.04466999997</v>
      </c>
      <c r="AJ61" s="49">
        <f t="shared" ref="AJ61" si="127">+Y61-AD61</f>
        <v>0</v>
      </c>
      <c r="AK61" s="49">
        <f t="shared" ref="AK61" si="128">-AE61</f>
        <v>-29109</v>
      </c>
      <c r="AL61" s="49">
        <f t="shared" ref="AL61" si="129">+Z61-AF61</f>
        <v>553068.96967000002</v>
      </c>
    </row>
    <row r="62" spans="1:41" s="35" customFormat="1" ht="39.75" customHeight="1" x14ac:dyDescent="0.2">
      <c r="A62" s="36" t="s">
        <v>165</v>
      </c>
      <c r="B62" s="37"/>
      <c r="C62" s="72"/>
      <c r="D62" s="72"/>
      <c r="E62" s="39"/>
      <c r="F62" s="38">
        <v>30103</v>
      </c>
      <c r="G62" s="40">
        <v>43753</v>
      </c>
      <c r="H62" s="104" t="s">
        <v>66</v>
      </c>
      <c r="I62" s="42"/>
      <c r="J62" s="38" t="s">
        <v>166</v>
      </c>
      <c r="K62" s="40">
        <v>43817</v>
      </c>
      <c r="L62" s="104" t="s">
        <v>66</v>
      </c>
      <c r="M62" s="42"/>
      <c r="N62" s="38">
        <v>2020</v>
      </c>
      <c r="O62" s="38">
        <v>2040</v>
      </c>
      <c r="P62" s="43" t="s">
        <v>10</v>
      </c>
      <c r="Q62" s="43" t="s">
        <v>10</v>
      </c>
      <c r="R62" s="44" t="s">
        <v>167</v>
      </c>
      <c r="S62" s="43" t="s">
        <v>10</v>
      </c>
      <c r="T62" s="152"/>
      <c r="U62" s="42">
        <v>727930</v>
      </c>
      <c r="V62" s="42"/>
      <c r="W62" s="45">
        <f t="shared" si="117"/>
        <v>16378.424999999999</v>
      </c>
      <c r="X62" s="45">
        <f t="shared" si="117"/>
        <v>9258.5416700000005</v>
      </c>
      <c r="Y62" s="45">
        <f t="shared" si="117"/>
        <v>7027.4362199999996</v>
      </c>
      <c r="Z62" s="45">
        <f t="shared" ref="Z62" si="130">+W62+X62+Y62</f>
        <v>32664.402890000001</v>
      </c>
      <c r="AA62" s="42"/>
      <c r="AB62" s="47">
        <f>ROUND(+(0*0.02277)+(U62-0)*0.004029,0)</f>
        <v>2933</v>
      </c>
      <c r="AC62" s="47">
        <f>ROUND(+(0*(0.015149-0.004612))+(U62)*0.003323,0)</f>
        <v>2419</v>
      </c>
      <c r="AD62" s="47">
        <f>+U62*$Y$1/100</f>
        <v>7027.4362199999996</v>
      </c>
      <c r="AE62" s="47">
        <f>ROUND((AI62+AJ62)*0.05+(AH62*0.05),0)</f>
        <v>1014</v>
      </c>
      <c r="AF62" s="47">
        <f>SUM(AB62:AE62)</f>
        <v>13393.43622</v>
      </c>
      <c r="AG62" s="42"/>
      <c r="AH62" s="48">
        <f t="shared" ref="AH62" si="131">+W62-AB62</f>
        <v>13445.424999999999</v>
      </c>
      <c r="AI62" s="49">
        <f t="shared" ref="AI62" si="132">+X62-AC62</f>
        <v>6839.5416700000005</v>
      </c>
      <c r="AJ62" s="49">
        <f t="shared" ref="AJ62" si="133">+Y62-AD62</f>
        <v>0</v>
      </c>
      <c r="AK62" s="49">
        <f t="shared" ref="AK62" si="134">-AE62</f>
        <v>-1014</v>
      </c>
      <c r="AL62" s="49">
        <f t="shared" ref="AL62" si="135">+Z62-AF62</f>
        <v>19270.966670000002</v>
      </c>
    </row>
    <row r="63" spans="1:41" s="35" customFormat="1" ht="39.75" customHeight="1" x14ac:dyDescent="0.2">
      <c r="A63" s="36" t="s">
        <v>193</v>
      </c>
      <c r="B63" s="37"/>
      <c r="C63" s="72"/>
      <c r="D63" s="72"/>
      <c r="E63" s="39"/>
      <c r="F63" s="38">
        <v>31115</v>
      </c>
      <c r="G63" s="40">
        <v>44698</v>
      </c>
      <c r="H63" s="104" t="s">
        <v>66</v>
      </c>
      <c r="I63" s="42"/>
      <c r="J63" s="38" t="s">
        <v>195</v>
      </c>
      <c r="K63" s="40">
        <v>44762</v>
      </c>
      <c r="L63" s="104" t="s">
        <v>66</v>
      </c>
      <c r="M63" s="42"/>
      <c r="N63" s="185" t="s">
        <v>201</v>
      </c>
      <c r="O63" s="185"/>
      <c r="P63" s="185"/>
      <c r="Q63" s="185"/>
      <c r="R63" s="44" t="s">
        <v>200</v>
      </c>
      <c r="S63" s="43" t="s">
        <v>204</v>
      </c>
      <c r="T63" s="152"/>
      <c r="U63" s="42">
        <v>10355280</v>
      </c>
      <c r="V63" s="42"/>
      <c r="W63" s="45">
        <f>+$U63*W$1/100</f>
        <v>232993.8</v>
      </c>
      <c r="X63" s="45">
        <f>+$U63*X$1/100</f>
        <v>131708.80632</v>
      </c>
      <c r="Y63" s="45">
        <f>+$U63*Y$1/100</f>
        <v>99969.873120000004</v>
      </c>
      <c r="Z63" s="45">
        <f>+W63+X63+Y63</f>
        <v>464672.47944000002</v>
      </c>
      <c r="AA63" s="42"/>
      <c r="AB63" s="47">
        <f>ROUND(2723880*2.25/100+((U63-2723880)*2.25/100)*0.4,0)</f>
        <v>129970</v>
      </c>
      <c r="AC63" s="47">
        <f>ROUND(+(2723880*(0.012257-0.00365))+(U63)*0.003323,0)</f>
        <v>57855</v>
      </c>
      <c r="AD63" s="47">
        <f>+U63*$Y$1/100</f>
        <v>99969.873120000004</v>
      </c>
      <c r="AE63" s="47">
        <f>ROUND((AI63+AJ63)*0.05+(AH63*0.0025),0)</f>
        <v>3950</v>
      </c>
      <c r="AF63" s="47">
        <f>SUM(AB63:AE63)</f>
        <v>291744.87312</v>
      </c>
      <c r="AG63" s="42"/>
      <c r="AH63" s="48">
        <f>+W63-AB63</f>
        <v>103023.79999999999</v>
      </c>
      <c r="AI63" s="49">
        <f>+X63-AC63</f>
        <v>73853.806320000003</v>
      </c>
      <c r="AJ63" s="49">
        <f>+Y63-AD63</f>
        <v>0</v>
      </c>
      <c r="AK63" s="49">
        <f>-AE63</f>
        <v>-3950</v>
      </c>
      <c r="AL63" s="49">
        <f>+Z63-AF63</f>
        <v>172927.60632000002</v>
      </c>
    </row>
    <row r="64" spans="1:41" s="35" customFormat="1" ht="63.75" customHeight="1" x14ac:dyDescent="0.2">
      <c r="A64" s="36" t="s">
        <v>192</v>
      </c>
      <c r="B64" s="37"/>
      <c r="C64" s="72"/>
      <c r="D64" s="72"/>
      <c r="E64" s="39"/>
      <c r="F64" s="38">
        <v>31194</v>
      </c>
      <c r="G64" s="40">
        <v>44768</v>
      </c>
      <c r="H64" s="104" t="s">
        <v>66</v>
      </c>
      <c r="I64" s="42"/>
      <c r="J64" s="38" t="s">
        <v>194</v>
      </c>
      <c r="K64" s="40">
        <v>44776</v>
      </c>
      <c r="L64" s="104" t="s">
        <v>66</v>
      </c>
      <c r="M64" s="42"/>
      <c r="N64" s="185" t="s">
        <v>202</v>
      </c>
      <c r="O64" s="185"/>
      <c r="P64" s="185"/>
      <c r="Q64" s="185"/>
      <c r="R64" s="44" t="s">
        <v>199</v>
      </c>
      <c r="S64" s="43" t="s">
        <v>203</v>
      </c>
      <c r="T64" s="152"/>
      <c r="U64" s="42">
        <v>23943185</v>
      </c>
      <c r="V64" s="42"/>
      <c r="W64" s="45">
        <f t="shared" si="117"/>
        <v>538721.66249999998</v>
      </c>
      <c r="X64" s="45">
        <f t="shared" si="117"/>
        <v>304533.37001499999</v>
      </c>
      <c r="Y64" s="45">
        <f t="shared" si="117"/>
        <v>231147.50799000001</v>
      </c>
      <c r="Z64" s="45">
        <f t="shared" ref="Z64" si="136">+W64+X64+Y64</f>
        <v>1074402.5405049999</v>
      </c>
      <c r="AA64" s="42"/>
      <c r="AB64" s="47">
        <f>ROUND(+(4254785*0.0225)+(U64-4254785)*W1/100*0.25,0)</f>
        <v>206480</v>
      </c>
      <c r="AC64" s="47">
        <f>ROUND(+(4254785*(0.012257-0.00365))+(U64)*0.003323,0)</f>
        <v>116184</v>
      </c>
      <c r="AD64" s="47">
        <f t="shared" ref="AD64" si="137">+U64*$Y$1/100</f>
        <v>231147.50799000001</v>
      </c>
      <c r="AE64" s="47">
        <f t="shared" ref="AE64" si="138">ROUND((AI64+AJ64)*0.05+(AH64*0.0025),0)</f>
        <v>10248</v>
      </c>
      <c r="AF64" s="47">
        <f t="shared" ref="AF64" si="139">SUM(AB64:AE64)</f>
        <v>564059.50799000007</v>
      </c>
      <c r="AG64" s="42"/>
      <c r="AH64" s="48">
        <f t="shared" ref="AH64" si="140">+W64-AB64</f>
        <v>332241.66249999998</v>
      </c>
      <c r="AI64" s="49">
        <f t="shared" ref="AI64" si="141">+X64-AC64</f>
        <v>188349.37001499999</v>
      </c>
      <c r="AJ64" s="49">
        <f t="shared" ref="AJ64" si="142">+Y64-AD64</f>
        <v>0</v>
      </c>
      <c r="AK64" s="49">
        <f t="shared" ref="AK64" si="143">-AE64</f>
        <v>-10248</v>
      </c>
      <c r="AL64" s="49">
        <f t="shared" ref="AL64" si="144">+Z64-AF64</f>
        <v>510343.03251499985</v>
      </c>
    </row>
    <row r="65" spans="1:41" s="35" customFormat="1" ht="93" customHeight="1" x14ac:dyDescent="0.2">
      <c r="A65" s="161" t="s">
        <v>213</v>
      </c>
      <c r="B65" s="162"/>
      <c r="C65" s="158"/>
      <c r="D65" s="158"/>
      <c r="E65" s="160"/>
      <c r="F65" s="38">
        <v>31836</v>
      </c>
      <c r="G65" s="40">
        <v>45230</v>
      </c>
      <c r="H65" s="104" t="s">
        <v>66</v>
      </c>
      <c r="I65" s="42"/>
      <c r="J65" s="38" t="s">
        <v>214</v>
      </c>
      <c r="K65" s="40">
        <v>45231</v>
      </c>
      <c r="L65" s="104" t="s">
        <v>66</v>
      </c>
      <c r="M65" s="42"/>
      <c r="N65" s="185" t="s">
        <v>202</v>
      </c>
      <c r="O65" s="185"/>
      <c r="P65" s="185"/>
      <c r="Q65" s="185"/>
      <c r="R65" s="44" t="s">
        <v>215</v>
      </c>
      <c r="S65" s="43" t="s">
        <v>216</v>
      </c>
      <c r="T65" s="152"/>
      <c r="U65" s="42"/>
      <c r="V65" s="42"/>
      <c r="W65" s="45"/>
      <c r="X65" s="45"/>
      <c r="Y65" s="45"/>
      <c r="Z65" s="45"/>
      <c r="AA65" s="42"/>
      <c r="AB65" s="47"/>
      <c r="AC65" s="47"/>
      <c r="AD65" s="47"/>
      <c r="AE65" s="47"/>
      <c r="AF65" s="47"/>
      <c r="AG65" s="42"/>
      <c r="AH65" s="48"/>
      <c r="AI65" s="49"/>
      <c r="AJ65" s="49"/>
      <c r="AK65" s="49"/>
      <c r="AL65" s="49"/>
    </row>
    <row r="66" spans="1:41" s="35" customFormat="1" ht="4.5" customHeight="1" x14ac:dyDescent="0.2">
      <c r="A66" s="51"/>
      <c r="B66" s="52"/>
      <c r="C66" s="53"/>
      <c r="D66" s="53"/>
      <c r="E66" s="54"/>
      <c r="F66" s="53"/>
      <c r="G66" s="55"/>
      <c r="H66" s="56"/>
      <c r="I66" s="57"/>
      <c r="J66" s="53"/>
      <c r="K66" s="55"/>
      <c r="L66" s="60"/>
      <c r="M66" s="57"/>
      <c r="N66" s="53"/>
      <c r="O66" s="53"/>
      <c r="P66" s="61"/>
      <c r="Q66" s="62"/>
      <c r="R66" s="109"/>
      <c r="S66" s="57"/>
      <c r="T66" s="57"/>
      <c r="U66" s="57"/>
      <c r="V66" s="57"/>
      <c r="W66" s="65"/>
      <c r="X66" s="65"/>
      <c r="Y66" s="65"/>
      <c r="Z66" s="65"/>
      <c r="AA66" s="57"/>
      <c r="AB66" s="67"/>
      <c r="AC66" s="110"/>
      <c r="AD66" s="110"/>
      <c r="AE66" s="110"/>
      <c r="AF66" s="110"/>
      <c r="AG66" s="57"/>
      <c r="AH66" s="68"/>
      <c r="AI66" s="111"/>
      <c r="AJ66" s="111"/>
      <c r="AK66" s="111"/>
      <c r="AL66" s="111"/>
    </row>
    <row r="67" spans="1:41" ht="25.5" customHeight="1" thickBot="1" x14ac:dyDescent="0.25">
      <c r="R67" s="24"/>
      <c r="W67" s="20">
        <f>SUM(W60:W66)</f>
        <v>2418382.1925000004</v>
      </c>
      <c r="X67" s="20">
        <f>SUM(X60:X66)</f>
        <v>1367084.5825069998</v>
      </c>
      <c r="Y67" s="20">
        <f>SUM(Y60:Y66)</f>
        <v>1037647.186062</v>
      </c>
      <c r="Z67" s="20">
        <f>SUM(Z60:Z66)</f>
        <v>4823113.961069</v>
      </c>
      <c r="AB67" s="19">
        <f>SUM(AB60:AB66)</f>
        <v>814335</v>
      </c>
      <c r="AC67" s="19">
        <f>SUM(AC60:AC66)</f>
        <v>448365</v>
      </c>
      <c r="AD67" s="19">
        <f>SUM(AD60:AD66)</f>
        <v>1037647.186062</v>
      </c>
      <c r="AE67" s="19">
        <f>SUM(AE60:AE66)</f>
        <v>105463</v>
      </c>
      <c r="AF67" s="19">
        <f>SUM(AF60:AF66)</f>
        <v>2405810.1860619998</v>
      </c>
      <c r="AH67" s="17">
        <f>SUM(AH60:AH66)</f>
        <v>1604047.1925000004</v>
      </c>
      <c r="AI67" s="17">
        <f>SUM(AI60:AI66)</f>
        <v>918719.58250699984</v>
      </c>
      <c r="AJ67" s="17">
        <f>SUM(AJ60:AJ66)</f>
        <v>0</v>
      </c>
      <c r="AK67" s="17">
        <f>SUM(AK60:AK66)</f>
        <v>-105463</v>
      </c>
      <c r="AL67" s="17">
        <f>SUM(AL60:AL66)</f>
        <v>2417303.7750069997</v>
      </c>
      <c r="AM67" s="1"/>
      <c r="AN67" s="1">
        <f t="shared" ref="AN67" si="145">+X67-AC67-AI67</f>
        <v>0</v>
      </c>
      <c r="AO67" s="1"/>
    </row>
    <row r="68" spans="1:41" ht="15" customHeight="1" thickTop="1" x14ac:dyDescent="0.2">
      <c r="R68" s="24"/>
    </row>
    <row r="69" spans="1:41" ht="15" customHeight="1" x14ac:dyDescent="0.2">
      <c r="E69"/>
      <c r="I69"/>
      <c r="R69" s="24"/>
    </row>
    <row r="70" spans="1:41" ht="15" customHeight="1" x14ac:dyDescent="0.2">
      <c r="R70" s="24"/>
      <c r="AB70" s="159"/>
    </row>
    <row r="71" spans="1:41" ht="15" customHeight="1" x14ac:dyDescent="0.2">
      <c r="R71" s="24"/>
      <c r="AB71" s="159"/>
    </row>
    <row r="72" spans="1:41" ht="15" customHeight="1" x14ac:dyDescent="0.2">
      <c r="R72" s="24"/>
      <c r="AB72" s="159"/>
    </row>
    <row r="73" spans="1:41" ht="15" customHeight="1" x14ac:dyDescent="0.2">
      <c r="R73" s="24"/>
    </row>
    <row r="74" spans="1:41" ht="15" customHeight="1" x14ac:dyDescent="0.2">
      <c r="R74" s="24"/>
    </row>
    <row r="75" spans="1:41" ht="15" customHeight="1" x14ac:dyDescent="0.2">
      <c r="R75" s="24"/>
    </row>
    <row r="76" spans="1:41" ht="15" customHeight="1" x14ac:dyDescent="0.2">
      <c r="R76" s="24"/>
    </row>
    <row r="77" spans="1:41" ht="15" customHeight="1" x14ac:dyDescent="0.2">
      <c r="R77" s="24"/>
    </row>
    <row r="78" spans="1:41" ht="15" customHeight="1" x14ac:dyDescent="0.2">
      <c r="R78" s="24"/>
    </row>
    <row r="79" spans="1:41" ht="15" customHeight="1" x14ac:dyDescent="0.2">
      <c r="R79" s="24"/>
    </row>
    <row r="80" spans="1:41" ht="15" customHeight="1" x14ac:dyDescent="0.2">
      <c r="R80" s="24"/>
    </row>
    <row r="81" spans="18:18" ht="15" customHeight="1" x14ac:dyDescent="0.2">
      <c r="R81" s="24"/>
    </row>
    <row r="82" spans="18:18" ht="15" customHeight="1" x14ac:dyDescent="0.2">
      <c r="R82" s="24"/>
    </row>
    <row r="83" spans="18:18" ht="15" customHeight="1" x14ac:dyDescent="0.2">
      <c r="R83" s="24"/>
    </row>
    <row r="84" spans="18:18" ht="15" customHeight="1" x14ac:dyDescent="0.2">
      <c r="R84" s="24"/>
    </row>
    <row r="85" spans="18:18" ht="15" customHeight="1" x14ac:dyDescent="0.2">
      <c r="R85" s="24"/>
    </row>
    <row r="86" spans="18:18" ht="15" customHeight="1" x14ac:dyDescent="0.2">
      <c r="R86" s="24"/>
    </row>
    <row r="87" spans="18:18" ht="15" customHeight="1" x14ac:dyDescent="0.2">
      <c r="R87" s="24"/>
    </row>
    <row r="88" spans="18:18" ht="15" customHeight="1" x14ac:dyDescent="0.2">
      <c r="R88" s="24"/>
    </row>
    <row r="89" spans="18:18" ht="15" customHeight="1" x14ac:dyDescent="0.2">
      <c r="R89" s="24"/>
    </row>
    <row r="90" spans="18:18" ht="15" customHeight="1" x14ac:dyDescent="0.2">
      <c r="R90" s="24"/>
    </row>
    <row r="91" spans="18:18" ht="15" customHeight="1" x14ac:dyDescent="0.2">
      <c r="R91" s="24"/>
    </row>
    <row r="92" spans="18:18" ht="15" customHeight="1" x14ac:dyDescent="0.2">
      <c r="R92" s="24"/>
    </row>
    <row r="93" spans="18:18" ht="15" customHeight="1" x14ac:dyDescent="0.2">
      <c r="R93" s="24"/>
    </row>
    <row r="94" spans="18:18" ht="15" customHeight="1" x14ac:dyDescent="0.2">
      <c r="R94" s="24"/>
    </row>
    <row r="95" spans="18:18" ht="15" customHeight="1" x14ac:dyDescent="0.2">
      <c r="R95" s="24"/>
    </row>
    <row r="96" spans="18:18" ht="15" customHeight="1" x14ac:dyDescent="0.2">
      <c r="R96" s="24"/>
    </row>
    <row r="97" spans="18:18" ht="15" customHeight="1" x14ac:dyDescent="0.2">
      <c r="R97" s="24"/>
    </row>
    <row r="98" spans="18:18" ht="15" customHeight="1" x14ac:dyDescent="0.2">
      <c r="R98" s="24"/>
    </row>
    <row r="99" spans="18:18" ht="15" customHeight="1" x14ac:dyDescent="0.2">
      <c r="R99" s="24"/>
    </row>
    <row r="100" spans="18:18" ht="15" customHeight="1" x14ac:dyDescent="0.2">
      <c r="R100" s="24"/>
    </row>
    <row r="101" spans="18:18" ht="15" customHeight="1" x14ac:dyDescent="0.2">
      <c r="R101" s="24"/>
    </row>
    <row r="102" spans="18:18" ht="15" customHeight="1" x14ac:dyDescent="0.2">
      <c r="R102" s="24"/>
    </row>
    <row r="103" spans="18:18" ht="15" customHeight="1" x14ac:dyDescent="0.2">
      <c r="R103" s="24"/>
    </row>
    <row r="104" spans="18:18" ht="15" customHeight="1" x14ac:dyDescent="0.2">
      <c r="R104" s="24"/>
    </row>
    <row r="105" spans="18:18" ht="15" customHeight="1" x14ac:dyDescent="0.2">
      <c r="R105" s="24"/>
    </row>
    <row r="106" spans="18:18" ht="15" customHeight="1" x14ac:dyDescent="0.2">
      <c r="R106" s="24"/>
    </row>
    <row r="107" spans="18:18" ht="15" customHeight="1" x14ac:dyDescent="0.2">
      <c r="R107" s="24"/>
    </row>
    <row r="108" spans="18:18" ht="15" customHeight="1" x14ac:dyDescent="0.2">
      <c r="R108" s="24"/>
    </row>
    <row r="109" spans="18:18" ht="15" customHeight="1" x14ac:dyDescent="0.2">
      <c r="R109" s="24"/>
    </row>
    <row r="110" spans="18:18" ht="15" customHeight="1" x14ac:dyDescent="0.2">
      <c r="R110" s="24"/>
    </row>
    <row r="111" spans="18:18" ht="15" customHeight="1" x14ac:dyDescent="0.2">
      <c r="R111" s="24"/>
    </row>
    <row r="112" spans="18:18" ht="15" customHeight="1" x14ac:dyDescent="0.2">
      <c r="R112" s="24"/>
    </row>
    <row r="113" spans="18:18" ht="15" customHeight="1" x14ac:dyDescent="0.2">
      <c r="R113" s="24"/>
    </row>
    <row r="114" spans="18:18" ht="15" customHeight="1" x14ac:dyDescent="0.2">
      <c r="R114" s="24"/>
    </row>
    <row r="115" spans="18:18" ht="15" customHeight="1" x14ac:dyDescent="0.2">
      <c r="R115" s="24"/>
    </row>
    <row r="116" spans="18:18" ht="15" customHeight="1" x14ac:dyDescent="0.2">
      <c r="R116" s="24"/>
    </row>
    <row r="117" spans="18:18" ht="15" customHeight="1" x14ac:dyDescent="0.2">
      <c r="R117" s="24"/>
    </row>
    <row r="118" spans="18:18" ht="15" customHeight="1" x14ac:dyDescent="0.2">
      <c r="R118" s="24"/>
    </row>
    <row r="119" spans="18:18" ht="15" customHeight="1" x14ac:dyDescent="0.2">
      <c r="R119" s="24"/>
    </row>
    <row r="120" spans="18:18" ht="15" customHeight="1" x14ac:dyDescent="0.2">
      <c r="R120" s="24"/>
    </row>
  </sheetData>
  <autoFilter ref="A3:AL50" xr:uid="{00000000-0009-0000-0000-000000000000}"/>
  <mergeCells count="85">
    <mergeCell ref="N63:Q63"/>
    <mergeCell ref="N64:Q64"/>
    <mergeCell ref="S21:S23"/>
    <mergeCell ref="F56:H56"/>
    <mergeCell ref="J56:L56"/>
    <mergeCell ref="P24:P25"/>
    <mergeCell ref="Q24:Q25"/>
    <mergeCell ref="S24:S25"/>
    <mergeCell ref="AB56:AF56"/>
    <mergeCell ref="AH56:AL56"/>
    <mergeCell ref="AB54:AF54"/>
    <mergeCell ref="N21:N23"/>
    <mergeCell ref="O21:O23"/>
    <mergeCell ref="P21:P23"/>
    <mergeCell ref="Q21:Q23"/>
    <mergeCell ref="R21:R23"/>
    <mergeCell ref="U21:U23"/>
    <mergeCell ref="W21:W23"/>
    <mergeCell ref="X21:X23"/>
    <mergeCell ref="Y21:Y23"/>
    <mergeCell ref="Z21:Z23"/>
    <mergeCell ref="N24:N25"/>
    <mergeCell ref="O24:O25"/>
    <mergeCell ref="X24:X25"/>
    <mergeCell ref="AC19:AC20"/>
    <mergeCell ref="AD19:AD20"/>
    <mergeCell ref="AE19:AE20"/>
    <mergeCell ref="AF19:AF20"/>
    <mergeCell ref="AH19:AH20"/>
    <mergeCell ref="B19:B20"/>
    <mergeCell ref="E19:E20"/>
    <mergeCell ref="F19:F20"/>
    <mergeCell ref="G19:G20"/>
    <mergeCell ref="H19:H20"/>
    <mergeCell ref="F2:H2"/>
    <mergeCell ref="J2:L2"/>
    <mergeCell ref="AB2:AF2"/>
    <mergeCell ref="AH2:AL2"/>
    <mergeCell ref="A19:A20"/>
    <mergeCell ref="N19:N20"/>
    <mergeCell ref="O19:O20"/>
    <mergeCell ref="P19:P20"/>
    <mergeCell ref="Q19:Q20"/>
    <mergeCell ref="S19:S20"/>
    <mergeCell ref="U19:U20"/>
    <mergeCell ref="W19:W20"/>
    <mergeCell ref="X19:X20"/>
    <mergeCell ref="Y19:Y20"/>
    <mergeCell ref="Z19:Z20"/>
    <mergeCell ref="AB19:AB20"/>
    <mergeCell ref="U24:U25"/>
    <mergeCell ref="W24:W25"/>
    <mergeCell ref="A21:A23"/>
    <mergeCell ref="B21:B23"/>
    <mergeCell ref="E21:E23"/>
    <mergeCell ref="A24:A25"/>
    <mergeCell ref="B24:B25"/>
    <mergeCell ref="E24:E25"/>
    <mergeCell ref="N65:Q65"/>
    <mergeCell ref="AI21:AI23"/>
    <mergeCell ref="AJ21:AJ23"/>
    <mergeCell ref="AK21:AK23"/>
    <mergeCell ref="AL21:AL23"/>
    <mergeCell ref="AI19:AI20"/>
    <mergeCell ref="AJ19:AJ20"/>
    <mergeCell ref="AK19:AK20"/>
    <mergeCell ref="AL19:AL20"/>
    <mergeCell ref="AB21:AB23"/>
    <mergeCell ref="AH21:AH23"/>
    <mergeCell ref="Y24:Y25"/>
    <mergeCell ref="Z24:Z25"/>
    <mergeCell ref="AC21:AC23"/>
    <mergeCell ref="AJ24:AJ25"/>
    <mergeCell ref="AK24:AK25"/>
    <mergeCell ref="AD24:AD25"/>
    <mergeCell ref="AE24:AE25"/>
    <mergeCell ref="AF21:AF23"/>
    <mergeCell ref="AD21:AD23"/>
    <mergeCell ref="AE21:AE23"/>
    <mergeCell ref="AL24:AL25"/>
    <mergeCell ref="AF24:AF25"/>
    <mergeCell ref="AH24:AH25"/>
    <mergeCell ref="AI24:AI25"/>
    <mergeCell ref="AB24:AB25"/>
    <mergeCell ref="AC24:AC25"/>
  </mergeCells>
  <hyperlinks>
    <hyperlink ref="H6" r:id="rId1" xr:uid="{00000000-0004-0000-0000-000000000000}"/>
    <hyperlink ref="H19" r:id="rId2" xr:uid="{00000000-0004-0000-0000-000002000000}"/>
    <hyperlink ref="H9" r:id="rId3" xr:uid="{00000000-0004-0000-0000-000003000000}"/>
    <hyperlink ref="H10" r:id="rId4" xr:uid="{00000000-0004-0000-0000-000004000000}"/>
    <hyperlink ref="H12" r:id="rId5" xr:uid="{00000000-0004-0000-0000-000005000000}"/>
    <hyperlink ref="H13" r:id="rId6" xr:uid="{00000000-0004-0000-0000-000006000000}"/>
    <hyperlink ref="H15" r:id="rId7" xr:uid="{00000000-0004-0000-0000-000007000000}"/>
    <hyperlink ref="H16" r:id="rId8" xr:uid="{00000000-0004-0000-0000-000008000000}"/>
    <hyperlink ref="H46" r:id="rId9" xr:uid="{00000000-0004-0000-0000-00000A000000}"/>
    <hyperlink ref="H47" r:id="rId10" xr:uid="{00000000-0004-0000-0000-00000B000000}"/>
    <hyperlink ref="H48" r:id="rId11" xr:uid="{00000000-0004-0000-0000-00000C000000}"/>
    <hyperlink ref="L48" r:id="rId12" xr:uid="{00000000-0004-0000-0000-00000D000000}"/>
    <hyperlink ref="L6" r:id="rId13" xr:uid="{00000000-0004-0000-0000-00000E000000}"/>
    <hyperlink ref="L9" r:id="rId14" xr:uid="{00000000-0004-0000-0000-000010000000}"/>
    <hyperlink ref="L10" r:id="rId15" xr:uid="{00000000-0004-0000-0000-000011000000}"/>
    <hyperlink ref="L12" r:id="rId16" xr:uid="{00000000-0004-0000-0000-000012000000}"/>
    <hyperlink ref="L13" r:id="rId17" xr:uid="{00000000-0004-0000-0000-000013000000}"/>
    <hyperlink ref="L15" r:id="rId18" xr:uid="{00000000-0004-0000-0000-000014000000}"/>
    <hyperlink ref="L16" r:id="rId19" xr:uid="{00000000-0004-0000-0000-000015000000}"/>
    <hyperlink ref="L46" r:id="rId20" xr:uid="{00000000-0004-0000-0000-000017000000}"/>
    <hyperlink ref="L47" r:id="rId21" xr:uid="{00000000-0004-0000-0000-000018000000}"/>
    <hyperlink ref="H38" r:id="rId22" xr:uid="{00000000-0004-0000-0000-000019000000}"/>
    <hyperlink ref="L38" r:id="rId23" xr:uid="{00000000-0004-0000-0000-00001A000000}"/>
    <hyperlink ref="H21" r:id="rId24" xr:uid="{00000000-0004-0000-0000-00001B000000}"/>
    <hyperlink ref="H7" r:id="rId25" xr:uid="{00000000-0004-0000-0000-00001C000000}"/>
    <hyperlink ref="L32" r:id="rId26" xr:uid="{00000000-0004-0000-0000-00001D000000}"/>
    <hyperlink ref="L21" r:id="rId27" xr:uid="{00000000-0004-0000-0000-00001E000000}"/>
    <hyperlink ref="L7" r:id="rId28" xr:uid="{00000000-0004-0000-0000-00001F000000}"/>
    <hyperlink ref="H32" r:id="rId29" xr:uid="{00000000-0004-0000-0000-000020000000}"/>
    <hyperlink ref="L19" r:id="rId30" xr:uid="{00000000-0004-0000-0000-000021000000}"/>
    <hyperlink ref="L20" r:id="rId31" xr:uid="{00000000-0004-0000-0000-000022000000}"/>
    <hyperlink ref="H22" r:id="rId32" xr:uid="{00000000-0004-0000-0000-000023000000}"/>
    <hyperlink ref="L22" r:id="rId33" xr:uid="{00000000-0004-0000-0000-000024000000}"/>
    <hyperlink ref="L29" r:id="rId34" xr:uid="{00000000-0004-0000-0000-000025000000}"/>
    <hyperlink ref="H17" r:id="rId35" xr:uid="{00000000-0004-0000-0000-000026000000}"/>
    <hyperlink ref="L17" r:id="rId36" xr:uid="{00000000-0004-0000-0000-000027000000}"/>
    <hyperlink ref="H37" r:id="rId37" xr:uid="{00000000-0004-0000-0000-000028000000}"/>
    <hyperlink ref="L37" r:id="rId38" xr:uid="{00000000-0004-0000-0000-000029000000}"/>
    <hyperlink ref="L50" r:id="rId39" xr:uid="{00000000-0004-0000-0000-00002C000000}"/>
    <hyperlink ref="H50" r:id="rId40" xr:uid="{00000000-0004-0000-0000-00002D000000}"/>
    <hyperlink ref="L45" r:id="rId41" xr:uid="{00000000-0004-0000-0000-000032000000}"/>
    <hyperlink ref="H45" r:id="rId42" xr:uid="{00000000-0004-0000-0000-000033000000}"/>
    <hyperlink ref="H44" r:id="rId43" xr:uid="{00000000-0004-0000-0000-000034000000}"/>
    <hyperlink ref="L44" r:id="rId44" xr:uid="{00000000-0004-0000-0000-000035000000}"/>
    <hyperlink ref="L60" r:id="rId45" xr:uid="{00000000-0004-0000-0000-000036000000}"/>
    <hyperlink ref="L61" r:id="rId46" xr:uid="{00000000-0004-0000-0000-000037000000}"/>
    <hyperlink ref="H61" r:id="rId47" xr:uid="{00000000-0004-0000-0000-000038000000}"/>
    <hyperlink ref="H60" r:id="rId48" xr:uid="{00000000-0004-0000-0000-000039000000}"/>
    <hyperlink ref="L33" r:id="rId49" xr:uid="{00000000-0004-0000-0000-00003A000000}"/>
    <hyperlink ref="H33" r:id="rId50" xr:uid="{00000000-0004-0000-0000-00003B000000}"/>
    <hyperlink ref="L41" r:id="rId51" xr:uid="{00000000-0004-0000-0000-00003C000000}"/>
    <hyperlink ref="H41" r:id="rId52" xr:uid="{00000000-0004-0000-0000-00003D000000}"/>
    <hyperlink ref="H24" r:id="rId53" xr:uid="{00000000-0004-0000-0000-00003E000000}"/>
    <hyperlink ref="L24" r:id="rId54" xr:uid="{00000000-0004-0000-0000-00003F000000}"/>
    <hyperlink ref="H39" r:id="rId55" xr:uid="{00000000-0004-0000-0000-000040000000}"/>
    <hyperlink ref="L39" r:id="rId56" xr:uid="{00000000-0004-0000-0000-000041000000}"/>
    <hyperlink ref="L23" r:id="rId57" xr:uid="{00000000-0004-0000-0000-000042000000}"/>
    <hyperlink ref="H23" r:id="rId58" xr:uid="{00000000-0004-0000-0000-000043000000}"/>
    <hyperlink ref="H62" r:id="rId59" xr:uid="{00000000-0004-0000-0000-000044000000}"/>
    <hyperlink ref="L62" r:id="rId60" xr:uid="{00000000-0004-0000-0000-000045000000}"/>
    <hyperlink ref="L30" r:id="rId61" xr:uid="{00000000-0004-0000-0000-000046000000}"/>
    <hyperlink ref="L26" r:id="rId62" xr:uid="{00000000-0004-0000-0000-000047000000}"/>
    <hyperlink ref="H29" r:id="rId63" xr:uid="{00000000-0004-0000-0000-000048000000}"/>
    <hyperlink ref="H30" r:id="rId64" xr:uid="{00000000-0004-0000-0000-000049000000}"/>
    <hyperlink ref="L36" r:id="rId65" xr:uid="{00000000-0004-0000-0000-00004A000000}"/>
    <hyperlink ref="H36" r:id="rId66" xr:uid="{00000000-0004-0000-0000-00004B000000}"/>
    <hyperlink ref="L14" r:id="rId67" xr:uid="{00000000-0004-0000-0000-00004C000000}"/>
    <hyperlink ref="L11" r:id="rId68" xr:uid="{00000000-0004-0000-0000-00004D000000}"/>
    <hyperlink ref="L40" r:id="rId69" xr:uid="{00000000-0004-0000-0000-00004E000000}"/>
    <hyperlink ref="L34" r:id="rId70" xr:uid="{00000000-0004-0000-0000-00004F000000}"/>
    <hyperlink ref="H14" r:id="rId71" xr:uid="{00000000-0004-0000-0000-000050000000}"/>
    <hyperlink ref="H11" r:id="rId72" xr:uid="{00000000-0004-0000-0000-000051000000}"/>
    <hyperlink ref="H40" r:id="rId73" xr:uid="{00000000-0004-0000-0000-000052000000}"/>
    <hyperlink ref="H34" r:id="rId74" xr:uid="{00000000-0004-0000-0000-000053000000}"/>
    <hyperlink ref="H64" r:id="rId75" xr:uid="{00000000-0004-0000-0000-000054000000}"/>
    <hyperlink ref="H63" r:id="rId76" xr:uid="{00000000-0004-0000-0000-000055000000}"/>
    <hyperlink ref="L64" r:id="rId77" xr:uid="{00000000-0004-0000-0000-000056000000}"/>
    <hyperlink ref="L63" r:id="rId78" xr:uid="{00000000-0004-0000-0000-000057000000}"/>
    <hyperlink ref="L65" r:id="rId79" xr:uid="{35E083E9-DBB8-44AC-A07B-CB72CDB67FB2}"/>
    <hyperlink ref="H65" r:id="rId80" xr:uid="{F8BDF7A4-0D98-40F9-81D3-3530BC3628F4}"/>
    <hyperlink ref="H5" r:id="rId81" xr:uid="{00000000-0004-0000-0000-00002E000000}"/>
    <hyperlink ref="L5" r:id="rId82" xr:uid="{9E82F17B-0FAE-474C-910C-220CF049E240}"/>
    <hyperlink ref="H35" r:id="rId83" xr:uid="{BCCF08B2-49E0-49DA-ABE2-7915258242F7}"/>
    <hyperlink ref="L35" r:id="rId84" xr:uid="{617CCA91-D0AB-400D-9989-892D00B8BBEA}"/>
  </hyperlinks>
  <pageMargins left="0.17" right="0.17" top="0.25" bottom="0.25" header="0" footer="0"/>
  <pageSetup paperSize="3" scale="43" fitToHeight="0" orientation="landscape" r:id="rId85"/>
  <rowBreaks count="1" manualBreakCount="1">
    <brk id="53" max="16383" man="1"/>
  </rowBreaks>
  <ignoredErrors>
    <ignoredError sqref="Y1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25 with notes (tax year 2024</vt:lpstr>
      <vt:lpstr>'FY 25 with notes (tax year 2024'!Print_Area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Brouner, Lee</dc:creator>
  <cp:lastModifiedBy>Cannon, Shelia</cp:lastModifiedBy>
  <cp:lastPrinted>2025-02-10T16:43:22Z</cp:lastPrinted>
  <dcterms:created xsi:type="dcterms:W3CDTF">2015-03-25T18:15:22Z</dcterms:created>
  <dcterms:modified xsi:type="dcterms:W3CDTF">2025-02-19T19:33:15Z</dcterms:modified>
</cp:coreProperties>
</file>